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YPBK\2024-2025\GAJI\"/>
    </mc:Choice>
  </mc:AlternateContent>
  <xr:revisionPtr revIDLastSave="0" documentId="13_ncr:1_{95391DCD-64BC-4D75-BF2D-BE34973C415F}" xr6:coauthVersionLast="47" xr6:coauthVersionMax="47" xr10:uidLastSave="{00000000-0000-0000-0000-000000000000}"/>
  <bookViews>
    <workbookView xWindow="-120" yWindow="-120" windowWidth="20730" windowHeight="11160" firstSheet="2" activeTab="11" xr2:uid="{00000000-000D-0000-FFFF-FFFF00000000}"/>
  </bookViews>
  <sheets>
    <sheet name="SLIP GAJI" sheetId="14" r:id="rId1"/>
    <sheet name="REKAP" sheetId="7" r:id="rId2"/>
    <sheet name="Sheet1" sheetId="22" r:id="rId3"/>
    <sheet name="ALL" sheetId="10" r:id="rId4"/>
    <sheet name="SEKRETARIAT" sheetId="1" r:id="rId5"/>
    <sheet name="SD" sheetId="2" r:id="rId6"/>
    <sheet name="TPQ" sheetId="6" r:id="rId7"/>
    <sheet name="SMP" sheetId="3" r:id="rId8"/>
    <sheet name="BOARDING" sheetId="4" r:id="rId9"/>
    <sheet name="PAUD" sheetId="5" r:id="rId10"/>
    <sheet name="BPDD" sheetId="16" r:id="rId11"/>
    <sheet name="Sheet2" sheetId="23" r:id="rId12"/>
    <sheet name="DANSOS" sheetId="21" r:id="rId13"/>
    <sheet name="BPD" sheetId="12" state="hidden" r:id="rId14"/>
  </sheets>
  <externalReferences>
    <externalReference r:id="rId15"/>
    <externalReference r:id="rId16"/>
    <externalReference r:id="rId17"/>
    <externalReference r:id="rId18"/>
  </externalReferences>
  <definedNames>
    <definedName name="_xlnm.Print_Area" localSheetId="8">BOARDING!$A$1:$S$44</definedName>
    <definedName name="_xlnm.Print_Area" localSheetId="13">BPD!$A$122:$G$248</definedName>
    <definedName name="_xlnm.Print_Area" localSheetId="10">BPDD!$A$121:$G$250</definedName>
    <definedName name="_xlnm.Print_Area" localSheetId="9">PAUD!$A$1:$Q$28</definedName>
    <definedName name="_xlnm.Print_Area" localSheetId="1">REKAP!$A$1:$E$35</definedName>
    <definedName name="_xlnm.Print_Area" localSheetId="5">SD!$A$1:$S$71</definedName>
    <definedName name="_xlnm.Print_Area" localSheetId="4">SEKRETARIAT!$A$1:$O$31</definedName>
    <definedName name="_xlnm.Print_Area" localSheetId="0">'SLIP GAJI'!$B$1:$I$50</definedName>
    <definedName name="_xlnm.Print_Area" localSheetId="7">SMP!$A$4:$S$46</definedName>
    <definedName name="_xlnm.Print_Area" localSheetId="6">TPQ!$A$1:$R$35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23" l="1"/>
  <c r="D50" i="23"/>
  <c r="C11" i="23"/>
  <c r="B39" i="23"/>
  <c r="A11" i="23"/>
  <c r="J5" i="23"/>
  <c r="H8" i="6"/>
  <c r="E10" i="14"/>
  <c r="B19" i="22"/>
  <c r="B42" i="23" l="1"/>
  <c r="N37" i="10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127" i="16"/>
  <c r="A128" i="16"/>
  <c r="A129" i="16"/>
  <c r="A130" i="16"/>
  <c r="A126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BG80" i="10"/>
  <c r="U86" i="10"/>
  <c r="B127" i="16"/>
  <c r="C127" i="16"/>
  <c r="D127" i="16"/>
  <c r="E127" i="16"/>
  <c r="G127" i="16"/>
  <c r="B128" i="16"/>
  <c r="C128" i="16"/>
  <c r="D128" i="16"/>
  <c r="E128" i="16"/>
  <c r="G128" i="16"/>
  <c r="F128" i="16" s="1"/>
  <c r="B129" i="16"/>
  <c r="C129" i="16"/>
  <c r="D129" i="16"/>
  <c r="F129" i="16" s="1"/>
  <c r="E129" i="16"/>
  <c r="G129" i="16"/>
  <c r="B130" i="16"/>
  <c r="C130" i="16"/>
  <c r="D130" i="16"/>
  <c r="E130" i="16"/>
  <c r="G130" i="16"/>
  <c r="F130" i="16" s="1"/>
  <c r="B131" i="16"/>
  <c r="C131" i="16"/>
  <c r="D131" i="16"/>
  <c r="E131" i="16"/>
  <c r="G131" i="16"/>
  <c r="B132" i="16"/>
  <c r="C132" i="16"/>
  <c r="D132" i="16"/>
  <c r="E132" i="16"/>
  <c r="G132" i="16"/>
  <c r="F132" i="16" s="1"/>
  <c r="B133" i="16"/>
  <c r="C133" i="16"/>
  <c r="D133" i="16"/>
  <c r="F133" i="16" s="1"/>
  <c r="E133" i="16"/>
  <c r="G133" i="16"/>
  <c r="B134" i="16"/>
  <c r="C134" i="16"/>
  <c r="D134" i="16"/>
  <c r="E134" i="16"/>
  <c r="G134" i="16"/>
  <c r="F134" i="16" s="1"/>
  <c r="B135" i="16"/>
  <c r="C135" i="16"/>
  <c r="D135" i="16"/>
  <c r="E135" i="16"/>
  <c r="G135" i="16"/>
  <c r="B136" i="16"/>
  <c r="C136" i="16"/>
  <c r="D136" i="16"/>
  <c r="E136" i="16"/>
  <c r="G136" i="16"/>
  <c r="F136" i="16" s="1"/>
  <c r="B137" i="16"/>
  <c r="C137" i="16"/>
  <c r="D137" i="16"/>
  <c r="F137" i="16" s="1"/>
  <c r="E137" i="16"/>
  <c r="G137" i="16"/>
  <c r="B138" i="16"/>
  <c r="C138" i="16"/>
  <c r="D138" i="16"/>
  <c r="E138" i="16"/>
  <c r="G138" i="16"/>
  <c r="F138" i="16" s="1"/>
  <c r="B139" i="16"/>
  <c r="C139" i="16"/>
  <c r="D139" i="16"/>
  <c r="E139" i="16"/>
  <c r="G139" i="16"/>
  <c r="B140" i="16"/>
  <c r="C140" i="16"/>
  <c r="D140" i="16"/>
  <c r="E140" i="16"/>
  <c r="G140" i="16"/>
  <c r="F140" i="16" s="1"/>
  <c r="B141" i="16"/>
  <c r="C141" i="16"/>
  <c r="D141" i="16"/>
  <c r="F141" i="16" s="1"/>
  <c r="E141" i="16"/>
  <c r="G141" i="16"/>
  <c r="B142" i="16"/>
  <c r="C142" i="16"/>
  <c r="D142" i="16"/>
  <c r="E142" i="16"/>
  <c r="G142" i="16"/>
  <c r="F142" i="16" s="1"/>
  <c r="B143" i="16"/>
  <c r="C143" i="16"/>
  <c r="D143" i="16"/>
  <c r="E143" i="16"/>
  <c r="G143" i="16"/>
  <c r="B144" i="16"/>
  <c r="C144" i="16"/>
  <c r="D144" i="16"/>
  <c r="E144" i="16"/>
  <c r="G144" i="16"/>
  <c r="F144" i="16" s="1"/>
  <c r="B145" i="16"/>
  <c r="C145" i="16"/>
  <c r="D145" i="16"/>
  <c r="F145" i="16" s="1"/>
  <c r="E145" i="16"/>
  <c r="G145" i="16"/>
  <c r="B146" i="16"/>
  <c r="C146" i="16"/>
  <c r="D146" i="16"/>
  <c r="E146" i="16"/>
  <c r="G146" i="16"/>
  <c r="F146" i="16" s="1"/>
  <c r="B147" i="16"/>
  <c r="C147" i="16"/>
  <c r="D147" i="16"/>
  <c r="E147" i="16"/>
  <c r="G147" i="16"/>
  <c r="B148" i="16"/>
  <c r="C148" i="16"/>
  <c r="D148" i="16"/>
  <c r="E148" i="16"/>
  <c r="G148" i="16"/>
  <c r="F148" i="16" s="1"/>
  <c r="B149" i="16"/>
  <c r="C149" i="16"/>
  <c r="D149" i="16"/>
  <c r="F149" i="16" s="1"/>
  <c r="E149" i="16"/>
  <c r="G149" i="16"/>
  <c r="B150" i="16"/>
  <c r="C150" i="16"/>
  <c r="D150" i="16"/>
  <c r="E150" i="16"/>
  <c r="G150" i="16"/>
  <c r="F150" i="16" s="1"/>
  <c r="B151" i="16"/>
  <c r="C151" i="16"/>
  <c r="D151" i="16"/>
  <c r="E151" i="16"/>
  <c r="G151" i="16"/>
  <c r="B152" i="16"/>
  <c r="C152" i="16"/>
  <c r="D152" i="16"/>
  <c r="E152" i="16"/>
  <c r="G152" i="16"/>
  <c r="F152" i="16" s="1"/>
  <c r="B153" i="16"/>
  <c r="C153" i="16"/>
  <c r="D153" i="16"/>
  <c r="F153" i="16" s="1"/>
  <c r="E153" i="16"/>
  <c r="G153" i="16"/>
  <c r="B154" i="16"/>
  <c r="C154" i="16"/>
  <c r="D154" i="16"/>
  <c r="E154" i="16"/>
  <c r="G154" i="16"/>
  <c r="F154" i="16" s="1"/>
  <c r="B155" i="16"/>
  <c r="C155" i="16"/>
  <c r="D155" i="16"/>
  <c r="E155" i="16"/>
  <c r="G155" i="16"/>
  <c r="B156" i="16"/>
  <c r="C156" i="16"/>
  <c r="D156" i="16"/>
  <c r="E156" i="16"/>
  <c r="G156" i="16"/>
  <c r="F156" i="16" s="1"/>
  <c r="B157" i="16"/>
  <c r="C157" i="16"/>
  <c r="D157" i="16"/>
  <c r="F157" i="16" s="1"/>
  <c r="E157" i="16"/>
  <c r="G157" i="16"/>
  <c r="B158" i="16"/>
  <c r="C158" i="16"/>
  <c r="D158" i="16"/>
  <c r="E158" i="16"/>
  <c r="G158" i="16"/>
  <c r="F158" i="16" s="1"/>
  <c r="B159" i="16"/>
  <c r="C159" i="16"/>
  <c r="D159" i="16"/>
  <c r="E159" i="16"/>
  <c r="B160" i="16"/>
  <c r="C160" i="16"/>
  <c r="D160" i="16"/>
  <c r="E160" i="16"/>
  <c r="G160" i="16"/>
  <c r="F160" i="16" s="1"/>
  <c r="B161" i="16"/>
  <c r="C161" i="16"/>
  <c r="D161" i="16"/>
  <c r="F161" i="16" s="1"/>
  <c r="E161" i="16"/>
  <c r="G161" i="16"/>
  <c r="B162" i="16"/>
  <c r="C162" i="16"/>
  <c r="D162" i="16"/>
  <c r="E162" i="16"/>
  <c r="G162" i="16"/>
  <c r="F162" i="16" s="1"/>
  <c r="B163" i="16"/>
  <c r="C163" i="16"/>
  <c r="D163" i="16"/>
  <c r="E163" i="16"/>
  <c r="G163" i="16"/>
  <c r="B164" i="16"/>
  <c r="C164" i="16"/>
  <c r="D164" i="16"/>
  <c r="E164" i="16"/>
  <c r="G164" i="16"/>
  <c r="F164" i="16" s="1"/>
  <c r="B165" i="16"/>
  <c r="C165" i="16"/>
  <c r="D165" i="16"/>
  <c r="F165" i="16" s="1"/>
  <c r="E165" i="16"/>
  <c r="G165" i="16"/>
  <c r="B166" i="16"/>
  <c r="C166" i="16"/>
  <c r="D166" i="16"/>
  <c r="E166" i="16"/>
  <c r="G166" i="16"/>
  <c r="F166" i="16" s="1"/>
  <c r="B167" i="16"/>
  <c r="C167" i="16"/>
  <c r="D167" i="16"/>
  <c r="E167" i="16"/>
  <c r="G167" i="16"/>
  <c r="B168" i="16"/>
  <c r="C168" i="16"/>
  <c r="D168" i="16"/>
  <c r="E168" i="16"/>
  <c r="G168" i="16"/>
  <c r="F168" i="16" s="1"/>
  <c r="B169" i="16"/>
  <c r="C169" i="16"/>
  <c r="D169" i="16"/>
  <c r="F169" i="16" s="1"/>
  <c r="E169" i="16"/>
  <c r="G169" i="16"/>
  <c r="B170" i="16"/>
  <c r="C170" i="16"/>
  <c r="D170" i="16"/>
  <c r="E170" i="16"/>
  <c r="G170" i="16"/>
  <c r="F170" i="16" s="1"/>
  <c r="B171" i="16"/>
  <c r="C171" i="16"/>
  <c r="D171" i="16"/>
  <c r="E171" i="16"/>
  <c r="G171" i="16"/>
  <c r="B172" i="16"/>
  <c r="C172" i="16"/>
  <c r="D172" i="16"/>
  <c r="E172" i="16"/>
  <c r="G172" i="16"/>
  <c r="F172" i="16" s="1"/>
  <c r="B173" i="16"/>
  <c r="C173" i="16"/>
  <c r="D173" i="16"/>
  <c r="F173" i="16" s="1"/>
  <c r="E173" i="16"/>
  <c r="G173" i="16"/>
  <c r="B174" i="16"/>
  <c r="C174" i="16"/>
  <c r="D174" i="16"/>
  <c r="E174" i="16"/>
  <c r="G174" i="16"/>
  <c r="F174" i="16" s="1"/>
  <c r="B175" i="16"/>
  <c r="C175" i="16"/>
  <c r="D175" i="16"/>
  <c r="E175" i="16"/>
  <c r="G175" i="16"/>
  <c r="B176" i="16"/>
  <c r="C176" i="16"/>
  <c r="D176" i="16"/>
  <c r="E176" i="16"/>
  <c r="G176" i="16"/>
  <c r="F176" i="16" s="1"/>
  <c r="B177" i="16"/>
  <c r="C177" i="16"/>
  <c r="D177" i="16"/>
  <c r="F177" i="16" s="1"/>
  <c r="E177" i="16"/>
  <c r="G177" i="16"/>
  <c r="B178" i="16"/>
  <c r="C178" i="16"/>
  <c r="D178" i="16"/>
  <c r="E178" i="16"/>
  <c r="G178" i="16"/>
  <c r="F178" i="16" s="1"/>
  <c r="B179" i="16"/>
  <c r="C179" i="16"/>
  <c r="D179" i="16"/>
  <c r="E179" i="16"/>
  <c r="G179" i="16"/>
  <c r="B180" i="16"/>
  <c r="C180" i="16"/>
  <c r="D180" i="16"/>
  <c r="E180" i="16"/>
  <c r="G180" i="16"/>
  <c r="F180" i="16" s="1"/>
  <c r="B181" i="16"/>
  <c r="C181" i="16"/>
  <c r="D181" i="16"/>
  <c r="F181" i="16" s="1"/>
  <c r="E181" i="16"/>
  <c r="G181" i="16"/>
  <c r="B182" i="16"/>
  <c r="C182" i="16"/>
  <c r="D182" i="16"/>
  <c r="E182" i="16"/>
  <c r="G182" i="16"/>
  <c r="F182" i="16" s="1"/>
  <c r="B183" i="16"/>
  <c r="C183" i="16"/>
  <c r="D183" i="16"/>
  <c r="E183" i="16"/>
  <c r="G183" i="16"/>
  <c r="B184" i="16"/>
  <c r="C184" i="16"/>
  <c r="D184" i="16"/>
  <c r="E184" i="16"/>
  <c r="G184" i="16"/>
  <c r="F184" i="16" s="1"/>
  <c r="B185" i="16"/>
  <c r="C185" i="16"/>
  <c r="D185" i="16"/>
  <c r="F185" i="16" s="1"/>
  <c r="E185" i="16"/>
  <c r="G185" i="16"/>
  <c r="B186" i="16"/>
  <c r="C186" i="16"/>
  <c r="D186" i="16"/>
  <c r="E186" i="16"/>
  <c r="G186" i="16"/>
  <c r="F186" i="16" s="1"/>
  <c r="B187" i="16"/>
  <c r="C187" i="16"/>
  <c r="D187" i="16"/>
  <c r="E187" i="16"/>
  <c r="G187" i="16"/>
  <c r="B188" i="16"/>
  <c r="C188" i="16"/>
  <c r="D188" i="16"/>
  <c r="E188" i="16"/>
  <c r="G188" i="16"/>
  <c r="F188" i="16" s="1"/>
  <c r="B189" i="16"/>
  <c r="C189" i="16"/>
  <c r="D189" i="16"/>
  <c r="F189" i="16" s="1"/>
  <c r="E189" i="16"/>
  <c r="G189" i="16"/>
  <c r="B190" i="16"/>
  <c r="C190" i="16"/>
  <c r="D190" i="16"/>
  <c r="E190" i="16"/>
  <c r="G190" i="16"/>
  <c r="F190" i="16" s="1"/>
  <c r="B191" i="16"/>
  <c r="C191" i="16"/>
  <c r="D191" i="16"/>
  <c r="E191" i="16"/>
  <c r="G191" i="16"/>
  <c r="B192" i="16"/>
  <c r="C192" i="16"/>
  <c r="D192" i="16"/>
  <c r="E192" i="16"/>
  <c r="G192" i="16"/>
  <c r="F192" i="16" s="1"/>
  <c r="B193" i="16"/>
  <c r="C193" i="16"/>
  <c r="D193" i="16"/>
  <c r="E193" i="16"/>
  <c r="B194" i="16"/>
  <c r="C194" i="16"/>
  <c r="D194" i="16"/>
  <c r="E194" i="16"/>
  <c r="G194" i="16"/>
  <c r="F194" i="16" s="1"/>
  <c r="B195" i="16"/>
  <c r="C195" i="16"/>
  <c r="D195" i="16"/>
  <c r="E195" i="16"/>
  <c r="G195" i="16"/>
  <c r="B196" i="16"/>
  <c r="C196" i="16"/>
  <c r="D196" i="16"/>
  <c r="E196" i="16"/>
  <c r="G196" i="16"/>
  <c r="F196" i="16" s="1"/>
  <c r="B197" i="16"/>
  <c r="C197" i="16"/>
  <c r="D197" i="16"/>
  <c r="F197" i="16" s="1"/>
  <c r="E197" i="16"/>
  <c r="G197" i="16"/>
  <c r="B198" i="16"/>
  <c r="C198" i="16"/>
  <c r="D198" i="16"/>
  <c r="E198" i="16"/>
  <c r="G198" i="16"/>
  <c r="F198" i="16" s="1"/>
  <c r="B199" i="16"/>
  <c r="C199" i="16"/>
  <c r="D199" i="16"/>
  <c r="E199" i="16"/>
  <c r="G199" i="16"/>
  <c r="B200" i="16"/>
  <c r="C200" i="16"/>
  <c r="D200" i="16"/>
  <c r="E200" i="16"/>
  <c r="G200" i="16"/>
  <c r="F200" i="16" s="1"/>
  <c r="B201" i="16"/>
  <c r="C201" i="16"/>
  <c r="D201" i="16"/>
  <c r="F201" i="16" s="1"/>
  <c r="E201" i="16"/>
  <c r="G201" i="16"/>
  <c r="B202" i="16"/>
  <c r="C202" i="16"/>
  <c r="D202" i="16"/>
  <c r="E202" i="16"/>
  <c r="B203" i="16"/>
  <c r="C203" i="16"/>
  <c r="D203" i="16"/>
  <c r="E203" i="16"/>
  <c r="G203" i="16"/>
  <c r="B204" i="16"/>
  <c r="C204" i="16"/>
  <c r="D204" i="16"/>
  <c r="E204" i="16"/>
  <c r="G204" i="16"/>
  <c r="F204" i="16" s="1"/>
  <c r="B205" i="16"/>
  <c r="C205" i="16"/>
  <c r="D205" i="16"/>
  <c r="F205" i="16" s="1"/>
  <c r="E205" i="16"/>
  <c r="G205" i="16"/>
  <c r="B206" i="16"/>
  <c r="C206" i="16"/>
  <c r="D206" i="16"/>
  <c r="E206" i="16"/>
  <c r="G206" i="16"/>
  <c r="F206" i="16" s="1"/>
  <c r="B207" i="16"/>
  <c r="C207" i="16"/>
  <c r="D207" i="16"/>
  <c r="E207" i="16"/>
  <c r="G207" i="16"/>
  <c r="B208" i="16"/>
  <c r="C208" i="16"/>
  <c r="D208" i="16"/>
  <c r="E208" i="16"/>
  <c r="B209" i="16"/>
  <c r="C209" i="16"/>
  <c r="D209" i="16"/>
  <c r="F209" i="16" s="1"/>
  <c r="E209" i="16"/>
  <c r="G209" i="16"/>
  <c r="B210" i="16"/>
  <c r="C210" i="16"/>
  <c r="D210" i="16"/>
  <c r="E210" i="16"/>
  <c r="G210" i="16"/>
  <c r="F210" i="16" s="1"/>
  <c r="B211" i="16"/>
  <c r="C211" i="16"/>
  <c r="D211" i="16"/>
  <c r="E211" i="16"/>
  <c r="G211" i="16"/>
  <c r="B212" i="16"/>
  <c r="C212" i="16"/>
  <c r="D212" i="16"/>
  <c r="E212" i="16"/>
  <c r="G212" i="16"/>
  <c r="F212" i="16" s="1"/>
  <c r="B213" i="16"/>
  <c r="C213" i="16"/>
  <c r="D213" i="16"/>
  <c r="F213" i="16" s="1"/>
  <c r="E213" i="16"/>
  <c r="G213" i="16"/>
  <c r="B214" i="16"/>
  <c r="C214" i="16"/>
  <c r="D214" i="16"/>
  <c r="E214" i="16"/>
  <c r="G214" i="16"/>
  <c r="F214" i="16" s="1"/>
  <c r="B215" i="16"/>
  <c r="C215" i="16"/>
  <c r="D215" i="16"/>
  <c r="E215" i="16"/>
  <c r="G215" i="16"/>
  <c r="B216" i="16"/>
  <c r="C216" i="16"/>
  <c r="D216" i="16"/>
  <c r="E216" i="16"/>
  <c r="G216" i="16"/>
  <c r="F216" i="16" s="1"/>
  <c r="B217" i="16"/>
  <c r="C217" i="16"/>
  <c r="D217" i="16"/>
  <c r="F217" i="16" s="1"/>
  <c r="E217" i="16"/>
  <c r="G217" i="16"/>
  <c r="B218" i="16"/>
  <c r="C218" i="16"/>
  <c r="D218" i="16"/>
  <c r="E218" i="16"/>
  <c r="G218" i="16"/>
  <c r="F218" i="16" s="1"/>
  <c r="B219" i="16"/>
  <c r="C219" i="16"/>
  <c r="D219" i="16"/>
  <c r="E219" i="16"/>
  <c r="G219" i="16"/>
  <c r="B220" i="16"/>
  <c r="C220" i="16"/>
  <c r="D220" i="16"/>
  <c r="E220" i="16"/>
  <c r="G220" i="16"/>
  <c r="F220" i="16" s="1"/>
  <c r="B221" i="16"/>
  <c r="C221" i="16"/>
  <c r="D221" i="16"/>
  <c r="F221" i="16" s="1"/>
  <c r="E221" i="16"/>
  <c r="G221" i="16"/>
  <c r="B222" i="16"/>
  <c r="C222" i="16"/>
  <c r="D222" i="16"/>
  <c r="E222" i="16"/>
  <c r="G222" i="16"/>
  <c r="F222" i="16" s="1"/>
  <c r="B223" i="16"/>
  <c r="C223" i="16"/>
  <c r="D223" i="16"/>
  <c r="E223" i="16"/>
  <c r="G223" i="16"/>
  <c r="B224" i="16"/>
  <c r="C224" i="16"/>
  <c r="D224" i="16"/>
  <c r="E224" i="16"/>
  <c r="G224" i="16"/>
  <c r="F224" i="16" s="1"/>
  <c r="B225" i="16"/>
  <c r="C225" i="16"/>
  <c r="D225" i="16"/>
  <c r="F225" i="16" s="1"/>
  <c r="E225" i="16"/>
  <c r="G225" i="16"/>
  <c r="B226" i="16"/>
  <c r="C226" i="16"/>
  <c r="D226" i="16"/>
  <c r="E226" i="16"/>
  <c r="G226" i="16"/>
  <c r="F226" i="16" s="1"/>
  <c r="B227" i="16"/>
  <c r="C227" i="16"/>
  <c r="D227" i="16"/>
  <c r="E227" i="16"/>
  <c r="G227" i="16"/>
  <c r="B228" i="16"/>
  <c r="C228" i="16"/>
  <c r="D228" i="16"/>
  <c r="E228" i="16"/>
  <c r="G228" i="16"/>
  <c r="F228" i="16" s="1"/>
  <c r="B229" i="16"/>
  <c r="C229" i="16"/>
  <c r="D229" i="16"/>
  <c r="F229" i="16" s="1"/>
  <c r="E229" i="16"/>
  <c r="G229" i="16"/>
  <c r="B230" i="16"/>
  <c r="C230" i="16"/>
  <c r="D230" i="16"/>
  <c r="E230" i="16"/>
  <c r="F230" i="16"/>
  <c r="G230" i="16"/>
  <c r="B231" i="16"/>
  <c r="C231" i="16"/>
  <c r="D231" i="16"/>
  <c r="F231" i="16" s="1"/>
  <c r="E231" i="16"/>
  <c r="G231" i="16"/>
  <c r="B232" i="16"/>
  <c r="C232" i="16"/>
  <c r="D232" i="16"/>
  <c r="E232" i="16"/>
  <c r="G232" i="16"/>
  <c r="F232" i="16" s="1"/>
  <c r="B233" i="16"/>
  <c r="C233" i="16"/>
  <c r="D233" i="16"/>
  <c r="E233" i="16"/>
  <c r="G233" i="16"/>
  <c r="B234" i="16"/>
  <c r="C234" i="16"/>
  <c r="D234" i="16"/>
  <c r="E234" i="16"/>
  <c r="G234" i="16"/>
  <c r="F234" i="16" s="1"/>
  <c r="B235" i="16"/>
  <c r="C235" i="16"/>
  <c r="D235" i="16"/>
  <c r="E235" i="16"/>
  <c r="G235" i="16"/>
  <c r="B236" i="16"/>
  <c r="C236" i="16"/>
  <c r="D236" i="16"/>
  <c r="E236" i="16"/>
  <c r="B237" i="16"/>
  <c r="C237" i="16"/>
  <c r="D237" i="16"/>
  <c r="F237" i="16" s="1"/>
  <c r="E237" i="16"/>
  <c r="G237" i="16"/>
  <c r="B238" i="16"/>
  <c r="C238" i="16"/>
  <c r="D238" i="16"/>
  <c r="E238" i="16"/>
  <c r="F238" i="16"/>
  <c r="G238" i="16"/>
  <c r="B239" i="16"/>
  <c r="C239" i="16"/>
  <c r="D239" i="16"/>
  <c r="F239" i="16" s="1"/>
  <c r="E239" i="16"/>
  <c r="G239" i="16"/>
  <c r="B240" i="16"/>
  <c r="C240" i="16"/>
  <c r="D240" i="16"/>
  <c r="E240" i="16"/>
  <c r="G240" i="16"/>
  <c r="F240" i="16" s="1"/>
  <c r="B241" i="16"/>
  <c r="C241" i="16"/>
  <c r="D241" i="16"/>
  <c r="E241" i="16"/>
  <c r="G241" i="16"/>
  <c r="B242" i="16"/>
  <c r="C242" i="16"/>
  <c r="D242" i="16"/>
  <c r="E242" i="16"/>
  <c r="G242" i="16"/>
  <c r="F242" i="16" s="1"/>
  <c r="G126" i="16"/>
  <c r="E126" i="16"/>
  <c r="D126" i="16"/>
  <c r="C126" i="16"/>
  <c r="B126" i="16"/>
  <c r="BC121" i="10"/>
  <c r="BD121" i="10"/>
  <c r="BE121" i="10"/>
  <c r="BF121" i="10"/>
  <c r="BG121" i="10"/>
  <c r="BB121" i="10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70" i="16"/>
  <c r="T71" i="16"/>
  <c r="T72" i="16"/>
  <c r="T73" i="16"/>
  <c r="T74" i="16"/>
  <c r="T75" i="16"/>
  <c r="T76" i="16"/>
  <c r="T77" i="16"/>
  <c r="T79" i="16"/>
  <c r="T80" i="16"/>
  <c r="T81" i="16"/>
  <c r="T82" i="16"/>
  <c r="T83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3" i="16"/>
  <c r="T114" i="16"/>
  <c r="T115" i="16"/>
  <c r="T116" i="16"/>
  <c r="T117" i="16"/>
  <c r="T118" i="16"/>
  <c r="T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2" i="16"/>
  <c r="O119" i="16" s="1"/>
  <c r="N3" i="16"/>
  <c r="P3" i="16"/>
  <c r="Q3" i="16"/>
  <c r="R3" i="16"/>
  <c r="R119" i="16" s="1"/>
  <c r="S3" i="16"/>
  <c r="N4" i="16"/>
  <c r="P4" i="16"/>
  <c r="Q4" i="16"/>
  <c r="R4" i="16"/>
  <c r="S4" i="16"/>
  <c r="N5" i="16"/>
  <c r="P5" i="16"/>
  <c r="Q5" i="16"/>
  <c r="R5" i="16"/>
  <c r="S5" i="16"/>
  <c r="N6" i="16"/>
  <c r="P6" i="16"/>
  <c r="Q6" i="16"/>
  <c r="R6" i="16"/>
  <c r="S6" i="16"/>
  <c r="N7" i="16"/>
  <c r="P7" i="16"/>
  <c r="Q7" i="16"/>
  <c r="R7" i="16"/>
  <c r="S7" i="16"/>
  <c r="N8" i="16"/>
  <c r="P8" i="16"/>
  <c r="Q8" i="16"/>
  <c r="R8" i="16"/>
  <c r="S8" i="16"/>
  <c r="N9" i="16"/>
  <c r="P9" i="16"/>
  <c r="Q9" i="16"/>
  <c r="R9" i="16"/>
  <c r="S9" i="16"/>
  <c r="N10" i="16"/>
  <c r="P10" i="16"/>
  <c r="Q10" i="16"/>
  <c r="R10" i="16"/>
  <c r="S10" i="16"/>
  <c r="N11" i="16"/>
  <c r="P11" i="16"/>
  <c r="Q11" i="16"/>
  <c r="R11" i="16"/>
  <c r="S11" i="16"/>
  <c r="N12" i="16"/>
  <c r="P12" i="16"/>
  <c r="Q12" i="16"/>
  <c r="R12" i="16"/>
  <c r="S12" i="16"/>
  <c r="N13" i="16"/>
  <c r="P13" i="16"/>
  <c r="Q13" i="16"/>
  <c r="R13" i="16"/>
  <c r="S13" i="16"/>
  <c r="N14" i="16"/>
  <c r="P14" i="16"/>
  <c r="Q14" i="16"/>
  <c r="R14" i="16"/>
  <c r="S14" i="16"/>
  <c r="N15" i="16"/>
  <c r="P15" i="16"/>
  <c r="Q15" i="16"/>
  <c r="R15" i="16"/>
  <c r="S15" i="16"/>
  <c r="N16" i="16"/>
  <c r="P16" i="16"/>
  <c r="Q16" i="16"/>
  <c r="R16" i="16"/>
  <c r="S16" i="16"/>
  <c r="N17" i="16"/>
  <c r="P17" i="16"/>
  <c r="Q17" i="16"/>
  <c r="R17" i="16"/>
  <c r="S17" i="16"/>
  <c r="N18" i="16"/>
  <c r="P18" i="16"/>
  <c r="Q18" i="16"/>
  <c r="R18" i="16"/>
  <c r="S18" i="16"/>
  <c r="N19" i="16"/>
  <c r="P19" i="16"/>
  <c r="Q19" i="16"/>
  <c r="R19" i="16"/>
  <c r="S19" i="16"/>
  <c r="N20" i="16"/>
  <c r="P20" i="16"/>
  <c r="Q20" i="16"/>
  <c r="R20" i="16"/>
  <c r="S20" i="16"/>
  <c r="N21" i="16"/>
  <c r="P21" i="16"/>
  <c r="Q21" i="16"/>
  <c r="R21" i="16"/>
  <c r="S21" i="16"/>
  <c r="N22" i="16"/>
  <c r="P22" i="16"/>
  <c r="Q22" i="16"/>
  <c r="R22" i="16"/>
  <c r="S22" i="16"/>
  <c r="N23" i="16"/>
  <c r="P23" i="16"/>
  <c r="Q23" i="16"/>
  <c r="R23" i="16"/>
  <c r="S23" i="16"/>
  <c r="N24" i="16"/>
  <c r="P24" i="16"/>
  <c r="Q24" i="16"/>
  <c r="R24" i="16"/>
  <c r="S24" i="16"/>
  <c r="N25" i="16"/>
  <c r="P25" i="16"/>
  <c r="Q25" i="16"/>
  <c r="R25" i="16"/>
  <c r="S25" i="16"/>
  <c r="N26" i="16"/>
  <c r="P26" i="16"/>
  <c r="Q26" i="16"/>
  <c r="R26" i="16"/>
  <c r="S26" i="16"/>
  <c r="N27" i="16"/>
  <c r="P27" i="16"/>
  <c r="Q27" i="16"/>
  <c r="R27" i="16"/>
  <c r="S27" i="16"/>
  <c r="N28" i="16"/>
  <c r="P28" i="16"/>
  <c r="Q28" i="16"/>
  <c r="R28" i="16"/>
  <c r="S28" i="16"/>
  <c r="N29" i="16"/>
  <c r="P29" i="16"/>
  <c r="Q29" i="16"/>
  <c r="R29" i="16"/>
  <c r="S29" i="16"/>
  <c r="N30" i="16"/>
  <c r="P30" i="16"/>
  <c r="Q30" i="16"/>
  <c r="R30" i="16"/>
  <c r="S30" i="16"/>
  <c r="N31" i="16"/>
  <c r="P31" i="16"/>
  <c r="Q31" i="16"/>
  <c r="R31" i="16"/>
  <c r="S31" i="16"/>
  <c r="N32" i="16"/>
  <c r="P32" i="16"/>
  <c r="Q32" i="16"/>
  <c r="R32" i="16"/>
  <c r="S32" i="16"/>
  <c r="N33" i="16"/>
  <c r="P33" i="16"/>
  <c r="Q33" i="16"/>
  <c r="R33" i="16"/>
  <c r="S33" i="16"/>
  <c r="N34" i="16"/>
  <c r="P34" i="16"/>
  <c r="Q34" i="16"/>
  <c r="R34" i="16"/>
  <c r="S34" i="16"/>
  <c r="N35" i="16"/>
  <c r="P35" i="16"/>
  <c r="Q35" i="16"/>
  <c r="R35" i="16"/>
  <c r="S35" i="16"/>
  <c r="N36" i="16"/>
  <c r="P36" i="16"/>
  <c r="Q36" i="16"/>
  <c r="R36" i="16"/>
  <c r="S36" i="16"/>
  <c r="N37" i="16"/>
  <c r="P37" i="16"/>
  <c r="Q37" i="16"/>
  <c r="R37" i="16"/>
  <c r="S37" i="16"/>
  <c r="N38" i="16"/>
  <c r="P38" i="16"/>
  <c r="Q38" i="16"/>
  <c r="R38" i="16"/>
  <c r="S38" i="16"/>
  <c r="N39" i="16"/>
  <c r="P39" i="16"/>
  <c r="Q39" i="16"/>
  <c r="R39" i="16"/>
  <c r="S39" i="16"/>
  <c r="N40" i="16"/>
  <c r="P40" i="16"/>
  <c r="Q40" i="16"/>
  <c r="R40" i="16"/>
  <c r="S40" i="16"/>
  <c r="N41" i="16"/>
  <c r="P41" i="16"/>
  <c r="Q41" i="16"/>
  <c r="R41" i="16"/>
  <c r="S41" i="16"/>
  <c r="N42" i="16"/>
  <c r="P42" i="16"/>
  <c r="Q42" i="16"/>
  <c r="R42" i="16"/>
  <c r="S42" i="16"/>
  <c r="N43" i="16"/>
  <c r="P43" i="16"/>
  <c r="Q43" i="16"/>
  <c r="R43" i="16"/>
  <c r="S43" i="16"/>
  <c r="N44" i="16"/>
  <c r="P44" i="16"/>
  <c r="Q44" i="16"/>
  <c r="R44" i="16"/>
  <c r="S44" i="16"/>
  <c r="N45" i="16"/>
  <c r="P45" i="16"/>
  <c r="Q45" i="16"/>
  <c r="R45" i="16"/>
  <c r="S45" i="16"/>
  <c r="N46" i="16"/>
  <c r="P46" i="16"/>
  <c r="Q46" i="16"/>
  <c r="R46" i="16"/>
  <c r="S46" i="16"/>
  <c r="N47" i="16"/>
  <c r="P47" i="16"/>
  <c r="Q47" i="16"/>
  <c r="R47" i="16"/>
  <c r="S47" i="16"/>
  <c r="N48" i="16"/>
  <c r="P48" i="16"/>
  <c r="Q48" i="16"/>
  <c r="R48" i="16"/>
  <c r="S48" i="16"/>
  <c r="N49" i="16"/>
  <c r="P49" i="16"/>
  <c r="Q49" i="16"/>
  <c r="R49" i="16"/>
  <c r="S49" i="16"/>
  <c r="N50" i="16"/>
  <c r="P50" i="16"/>
  <c r="Q50" i="16"/>
  <c r="R50" i="16"/>
  <c r="S50" i="16"/>
  <c r="N51" i="16"/>
  <c r="P51" i="16"/>
  <c r="Q51" i="16"/>
  <c r="R51" i="16"/>
  <c r="S51" i="16"/>
  <c r="N52" i="16"/>
  <c r="P52" i="16"/>
  <c r="Q52" i="16"/>
  <c r="R52" i="16"/>
  <c r="S52" i="16"/>
  <c r="N53" i="16"/>
  <c r="P53" i="16"/>
  <c r="Q53" i="16"/>
  <c r="R53" i="16"/>
  <c r="S53" i="16"/>
  <c r="N54" i="16"/>
  <c r="P54" i="16"/>
  <c r="Q54" i="16"/>
  <c r="R54" i="16"/>
  <c r="S54" i="16"/>
  <c r="N55" i="16"/>
  <c r="P55" i="16"/>
  <c r="Q55" i="16"/>
  <c r="R55" i="16"/>
  <c r="S55" i="16"/>
  <c r="N56" i="16"/>
  <c r="P56" i="16"/>
  <c r="Q56" i="16"/>
  <c r="R56" i="16"/>
  <c r="S56" i="16"/>
  <c r="N57" i="16"/>
  <c r="P57" i="16"/>
  <c r="Q57" i="16"/>
  <c r="R57" i="16"/>
  <c r="S57" i="16"/>
  <c r="N58" i="16"/>
  <c r="P58" i="16"/>
  <c r="Q58" i="16"/>
  <c r="R58" i="16"/>
  <c r="S58" i="16"/>
  <c r="N59" i="16"/>
  <c r="P59" i="16"/>
  <c r="Q59" i="16"/>
  <c r="R59" i="16"/>
  <c r="S59" i="16"/>
  <c r="N60" i="16"/>
  <c r="P60" i="16"/>
  <c r="Q60" i="16"/>
  <c r="R60" i="16"/>
  <c r="S60" i="16"/>
  <c r="N61" i="16"/>
  <c r="P61" i="16"/>
  <c r="Q61" i="16"/>
  <c r="R61" i="16"/>
  <c r="S61" i="16"/>
  <c r="N62" i="16"/>
  <c r="P62" i="16"/>
  <c r="Q62" i="16"/>
  <c r="R62" i="16"/>
  <c r="S62" i="16"/>
  <c r="N63" i="16"/>
  <c r="P63" i="16"/>
  <c r="Q63" i="16"/>
  <c r="R63" i="16"/>
  <c r="S63" i="16"/>
  <c r="N64" i="16"/>
  <c r="P64" i="16"/>
  <c r="Q64" i="16"/>
  <c r="R64" i="16"/>
  <c r="S64" i="16"/>
  <c r="N65" i="16"/>
  <c r="P65" i="16"/>
  <c r="Q65" i="16"/>
  <c r="R65" i="16"/>
  <c r="S65" i="16"/>
  <c r="N66" i="16"/>
  <c r="P66" i="16"/>
  <c r="Q66" i="16"/>
  <c r="R66" i="16"/>
  <c r="S66" i="16"/>
  <c r="N67" i="16"/>
  <c r="P67" i="16"/>
  <c r="Q67" i="16"/>
  <c r="R67" i="16"/>
  <c r="S67" i="16"/>
  <c r="N68" i="16"/>
  <c r="P68" i="16"/>
  <c r="Q68" i="16"/>
  <c r="R68" i="16"/>
  <c r="S68" i="16"/>
  <c r="N69" i="16"/>
  <c r="P69" i="16"/>
  <c r="Q69" i="16"/>
  <c r="R69" i="16"/>
  <c r="S69" i="16"/>
  <c r="N70" i="16"/>
  <c r="P70" i="16"/>
  <c r="Q70" i="16"/>
  <c r="R70" i="16"/>
  <c r="S70" i="16"/>
  <c r="N71" i="16"/>
  <c r="P71" i="16"/>
  <c r="Q71" i="16"/>
  <c r="R71" i="16"/>
  <c r="S71" i="16"/>
  <c r="N72" i="16"/>
  <c r="P72" i="16"/>
  <c r="Q72" i="16"/>
  <c r="R72" i="16"/>
  <c r="S72" i="16"/>
  <c r="N73" i="16"/>
  <c r="P73" i="16"/>
  <c r="Q73" i="16"/>
  <c r="R73" i="16"/>
  <c r="S73" i="16"/>
  <c r="N74" i="16"/>
  <c r="P74" i="16"/>
  <c r="Q74" i="16"/>
  <c r="R74" i="16"/>
  <c r="S74" i="16"/>
  <c r="N75" i="16"/>
  <c r="P75" i="16"/>
  <c r="Q75" i="16"/>
  <c r="R75" i="16"/>
  <c r="S75" i="16"/>
  <c r="N76" i="16"/>
  <c r="P76" i="16"/>
  <c r="Q76" i="16"/>
  <c r="R76" i="16"/>
  <c r="S76" i="16"/>
  <c r="N77" i="16"/>
  <c r="P77" i="16"/>
  <c r="Q77" i="16"/>
  <c r="R77" i="16"/>
  <c r="S77" i="16"/>
  <c r="N78" i="16"/>
  <c r="P78" i="16"/>
  <c r="Q78" i="16"/>
  <c r="R78" i="16"/>
  <c r="S78" i="16"/>
  <c r="N79" i="16"/>
  <c r="P79" i="16"/>
  <c r="Q79" i="16"/>
  <c r="R79" i="16"/>
  <c r="S79" i="16"/>
  <c r="N80" i="16"/>
  <c r="P80" i="16"/>
  <c r="Q80" i="16"/>
  <c r="R80" i="16"/>
  <c r="S80" i="16"/>
  <c r="N81" i="16"/>
  <c r="P81" i="16"/>
  <c r="Q81" i="16"/>
  <c r="R81" i="16"/>
  <c r="S81" i="16"/>
  <c r="N82" i="16"/>
  <c r="P82" i="16"/>
  <c r="Q82" i="16"/>
  <c r="R82" i="16"/>
  <c r="S82" i="16"/>
  <c r="N83" i="16"/>
  <c r="P83" i="16"/>
  <c r="Q83" i="16"/>
  <c r="R83" i="16"/>
  <c r="S83" i="16"/>
  <c r="N84" i="16"/>
  <c r="P84" i="16"/>
  <c r="Q84" i="16"/>
  <c r="R84" i="16"/>
  <c r="S84" i="16"/>
  <c r="N85" i="16"/>
  <c r="P85" i="16"/>
  <c r="Q85" i="16"/>
  <c r="R85" i="16"/>
  <c r="S85" i="16"/>
  <c r="N86" i="16"/>
  <c r="P86" i="16"/>
  <c r="Q86" i="16"/>
  <c r="R86" i="16"/>
  <c r="S86" i="16"/>
  <c r="N87" i="16"/>
  <c r="P87" i="16"/>
  <c r="Q87" i="16"/>
  <c r="R87" i="16"/>
  <c r="S87" i="16"/>
  <c r="N88" i="16"/>
  <c r="P88" i="16"/>
  <c r="Q88" i="16"/>
  <c r="R88" i="16"/>
  <c r="S88" i="16"/>
  <c r="N89" i="16"/>
  <c r="P89" i="16"/>
  <c r="Q89" i="16"/>
  <c r="R89" i="16"/>
  <c r="S89" i="16"/>
  <c r="N90" i="16"/>
  <c r="P90" i="16"/>
  <c r="Q90" i="16"/>
  <c r="R90" i="16"/>
  <c r="S90" i="16"/>
  <c r="N91" i="16"/>
  <c r="P91" i="16"/>
  <c r="Q91" i="16"/>
  <c r="R91" i="16"/>
  <c r="S91" i="16"/>
  <c r="N92" i="16"/>
  <c r="P92" i="16"/>
  <c r="Q92" i="16"/>
  <c r="R92" i="16"/>
  <c r="S92" i="16"/>
  <c r="N93" i="16"/>
  <c r="P93" i="16"/>
  <c r="Q93" i="16"/>
  <c r="R93" i="16"/>
  <c r="S93" i="16"/>
  <c r="N94" i="16"/>
  <c r="P94" i="16"/>
  <c r="Q94" i="16"/>
  <c r="R94" i="16"/>
  <c r="S94" i="16"/>
  <c r="N95" i="16"/>
  <c r="P95" i="16"/>
  <c r="Q95" i="16"/>
  <c r="R95" i="16"/>
  <c r="S95" i="16"/>
  <c r="N96" i="16"/>
  <c r="P96" i="16"/>
  <c r="Q96" i="16"/>
  <c r="R96" i="16"/>
  <c r="S96" i="16"/>
  <c r="N97" i="16"/>
  <c r="P97" i="16"/>
  <c r="Q97" i="16"/>
  <c r="R97" i="16"/>
  <c r="S97" i="16"/>
  <c r="N98" i="16"/>
  <c r="P98" i="16"/>
  <c r="Q98" i="16"/>
  <c r="R98" i="16"/>
  <c r="S98" i="16"/>
  <c r="N99" i="16"/>
  <c r="P99" i="16"/>
  <c r="Q99" i="16"/>
  <c r="R99" i="16"/>
  <c r="S99" i="16"/>
  <c r="N100" i="16"/>
  <c r="P100" i="16"/>
  <c r="Q100" i="16"/>
  <c r="R100" i="16"/>
  <c r="S100" i="16"/>
  <c r="N101" i="16"/>
  <c r="P101" i="16"/>
  <c r="Q101" i="16"/>
  <c r="R101" i="16"/>
  <c r="S101" i="16"/>
  <c r="N102" i="16"/>
  <c r="P102" i="16"/>
  <c r="Q102" i="16"/>
  <c r="R102" i="16"/>
  <c r="S102" i="16"/>
  <c r="N103" i="16"/>
  <c r="P103" i="16"/>
  <c r="Q103" i="16"/>
  <c r="R103" i="16"/>
  <c r="S103" i="16"/>
  <c r="N104" i="16"/>
  <c r="P104" i="16"/>
  <c r="Q104" i="16"/>
  <c r="R104" i="16"/>
  <c r="S104" i="16"/>
  <c r="N105" i="16"/>
  <c r="P105" i="16"/>
  <c r="Q105" i="16"/>
  <c r="R105" i="16"/>
  <c r="S105" i="16"/>
  <c r="N106" i="16"/>
  <c r="P106" i="16"/>
  <c r="Q106" i="16"/>
  <c r="R106" i="16"/>
  <c r="S106" i="16"/>
  <c r="N107" i="16"/>
  <c r="P107" i="16"/>
  <c r="Q107" i="16"/>
  <c r="R107" i="16"/>
  <c r="S107" i="16"/>
  <c r="N108" i="16"/>
  <c r="P108" i="16"/>
  <c r="Q108" i="16"/>
  <c r="R108" i="16"/>
  <c r="S108" i="16"/>
  <c r="N109" i="16"/>
  <c r="P109" i="16"/>
  <c r="Q109" i="16"/>
  <c r="R109" i="16"/>
  <c r="S109" i="16"/>
  <c r="N110" i="16"/>
  <c r="P110" i="16"/>
  <c r="Q110" i="16"/>
  <c r="R110" i="16"/>
  <c r="S110" i="16"/>
  <c r="N111" i="16"/>
  <c r="P111" i="16"/>
  <c r="Q111" i="16"/>
  <c r="R111" i="16"/>
  <c r="S111" i="16"/>
  <c r="N112" i="16"/>
  <c r="P112" i="16"/>
  <c r="Q112" i="16"/>
  <c r="R112" i="16"/>
  <c r="S112" i="16"/>
  <c r="N113" i="16"/>
  <c r="P113" i="16"/>
  <c r="Q113" i="16"/>
  <c r="R113" i="16"/>
  <c r="S113" i="16"/>
  <c r="N114" i="16"/>
  <c r="P114" i="16"/>
  <c r="Q114" i="16"/>
  <c r="R114" i="16"/>
  <c r="S114" i="16"/>
  <c r="N115" i="16"/>
  <c r="P115" i="16"/>
  <c r="Q115" i="16"/>
  <c r="R115" i="16"/>
  <c r="S115" i="16"/>
  <c r="N116" i="16"/>
  <c r="P116" i="16"/>
  <c r="Q116" i="16"/>
  <c r="R116" i="16"/>
  <c r="S116" i="16"/>
  <c r="N117" i="16"/>
  <c r="P117" i="16"/>
  <c r="Q117" i="16"/>
  <c r="R117" i="16"/>
  <c r="S117" i="16"/>
  <c r="N118" i="16"/>
  <c r="P118" i="16"/>
  <c r="Q118" i="16"/>
  <c r="R118" i="16"/>
  <c r="S118" i="16"/>
  <c r="S2" i="16"/>
  <c r="S119" i="16" s="1"/>
  <c r="R2" i="16"/>
  <c r="Q2" i="16"/>
  <c r="Q119" i="16" s="1"/>
  <c r="P2" i="16"/>
  <c r="P119" i="16" s="1"/>
  <c r="N2" i="16"/>
  <c r="N119" i="16" s="1"/>
  <c r="M118" i="16"/>
  <c r="M117" i="16"/>
  <c r="M116" i="16"/>
  <c r="M115" i="16"/>
  <c r="M114" i="16"/>
  <c r="M113" i="16"/>
  <c r="M112" i="16"/>
  <c r="M111" i="16"/>
  <c r="M110" i="16"/>
  <c r="M109" i="16"/>
  <c r="M108" i="16"/>
  <c r="M107" i="16"/>
  <c r="M106" i="16"/>
  <c r="M105" i="16"/>
  <c r="M104" i="16"/>
  <c r="M103" i="16"/>
  <c r="M102" i="16"/>
  <c r="M101" i="16"/>
  <c r="M100" i="16"/>
  <c r="M98" i="16"/>
  <c r="M97" i="16"/>
  <c r="M96" i="16"/>
  <c r="M95" i="16"/>
  <c r="M94" i="16"/>
  <c r="M9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69" i="16"/>
  <c r="M68" i="16"/>
  <c r="M67" i="16"/>
  <c r="M66" i="16"/>
  <c r="M65" i="16"/>
  <c r="M63" i="16"/>
  <c r="M62" i="16"/>
  <c r="M60" i="16"/>
  <c r="M59" i="16"/>
  <c r="M57" i="16"/>
  <c r="M48" i="16"/>
  <c r="M49" i="16"/>
  <c r="M50" i="16"/>
  <c r="M51" i="16"/>
  <c r="M52" i="16"/>
  <c r="M53" i="16"/>
  <c r="M54" i="16"/>
  <c r="M55" i="16"/>
  <c r="M56" i="16"/>
  <c r="M47" i="16"/>
  <c r="M46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18" i="16"/>
  <c r="M19" i="16"/>
  <c r="M20" i="16"/>
  <c r="M17" i="16"/>
  <c r="M16" i="16"/>
  <c r="M15" i="16"/>
  <c r="M3" i="16"/>
  <c r="M4" i="16"/>
  <c r="M5" i="16"/>
  <c r="M6" i="16"/>
  <c r="M7" i="16"/>
  <c r="M8" i="16"/>
  <c r="M9" i="16"/>
  <c r="M11" i="16"/>
  <c r="M12" i="16"/>
  <c r="M13" i="16"/>
  <c r="M14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K3" i="16"/>
  <c r="K119" i="16"/>
  <c r="K2" i="16"/>
  <c r="L2" i="16"/>
  <c r="BG47" i="10"/>
  <c r="D12" i="7"/>
  <c r="D7" i="7"/>
  <c r="Q7" i="5"/>
  <c r="B6" i="5"/>
  <c r="H6" i="5"/>
  <c r="I6" i="5"/>
  <c r="J6" i="5"/>
  <c r="K6" i="5"/>
  <c r="L6" i="5"/>
  <c r="M6" i="5"/>
  <c r="N6" i="5"/>
  <c r="O6" i="5"/>
  <c r="P6" i="5"/>
  <c r="Q6" i="5"/>
  <c r="Q5" i="5"/>
  <c r="P5" i="5"/>
  <c r="O5" i="5"/>
  <c r="N5" i="5"/>
  <c r="M5" i="5"/>
  <c r="L5" i="5"/>
  <c r="K5" i="5"/>
  <c r="J5" i="5"/>
  <c r="I5" i="5"/>
  <c r="H5" i="5"/>
  <c r="B5" i="5"/>
  <c r="B22" i="4"/>
  <c r="H22" i="4"/>
  <c r="I22" i="4"/>
  <c r="J22" i="4"/>
  <c r="K22" i="4"/>
  <c r="L22" i="4"/>
  <c r="M22" i="4"/>
  <c r="N22" i="4"/>
  <c r="O22" i="4"/>
  <c r="P22" i="4"/>
  <c r="Q22" i="4"/>
  <c r="R22" i="4"/>
  <c r="S22" i="4"/>
  <c r="B6" i="4"/>
  <c r="H6" i="4"/>
  <c r="I6" i="4"/>
  <c r="J6" i="4"/>
  <c r="K6" i="4"/>
  <c r="L6" i="4"/>
  <c r="M6" i="4"/>
  <c r="N6" i="4"/>
  <c r="O6" i="4"/>
  <c r="P6" i="4"/>
  <c r="Q6" i="4"/>
  <c r="R6" i="4"/>
  <c r="S6" i="4"/>
  <c r="B7" i="4"/>
  <c r="H7" i="4"/>
  <c r="I7" i="4"/>
  <c r="J7" i="4"/>
  <c r="K7" i="4"/>
  <c r="L7" i="4"/>
  <c r="M7" i="4"/>
  <c r="N7" i="4"/>
  <c r="O7" i="4"/>
  <c r="P7" i="4"/>
  <c r="Q7" i="4"/>
  <c r="R7" i="4"/>
  <c r="S7" i="4"/>
  <c r="B8" i="4"/>
  <c r="H8" i="4"/>
  <c r="I8" i="4"/>
  <c r="J8" i="4"/>
  <c r="K8" i="4"/>
  <c r="L8" i="4"/>
  <c r="M8" i="4"/>
  <c r="N8" i="4"/>
  <c r="O8" i="4"/>
  <c r="P8" i="4"/>
  <c r="Q8" i="4"/>
  <c r="R8" i="4"/>
  <c r="S8" i="4"/>
  <c r="B9" i="4"/>
  <c r="H9" i="4"/>
  <c r="I9" i="4"/>
  <c r="J9" i="4"/>
  <c r="K9" i="4"/>
  <c r="L9" i="4"/>
  <c r="M9" i="4"/>
  <c r="N9" i="4"/>
  <c r="O9" i="4"/>
  <c r="P9" i="4"/>
  <c r="Q9" i="4"/>
  <c r="R9" i="4"/>
  <c r="S9" i="4"/>
  <c r="B10" i="4"/>
  <c r="H10" i="4"/>
  <c r="I10" i="4"/>
  <c r="J10" i="4"/>
  <c r="K10" i="4"/>
  <c r="L10" i="4"/>
  <c r="M10" i="4"/>
  <c r="N10" i="4"/>
  <c r="O10" i="4"/>
  <c r="P10" i="4"/>
  <c r="Q10" i="4"/>
  <c r="R10" i="4"/>
  <c r="S10" i="4"/>
  <c r="B11" i="4"/>
  <c r="H11" i="4"/>
  <c r="I11" i="4"/>
  <c r="J11" i="4"/>
  <c r="K11" i="4"/>
  <c r="L11" i="4"/>
  <c r="M11" i="4"/>
  <c r="N11" i="4"/>
  <c r="O11" i="4"/>
  <c r="P11" i="4"/>
  <c r="Q11" i="4"/>
  <c r="R11" i="4"/>
  <c r="S11" i="4"/>
  <c r="B12" i="4"/>
  <c r="H12" i="4"/>
  <c r="I12" i="4"/>
  <c r="J12" i="4"/>
  <c r="K12" i="4"/>
  <c r="L12" i="4"/>
  <c r="M12" i="4"/>
  <c r="N12" i="4"/>
  <c r="O12" i="4"/>
  <c r="P12" i="4"/>
  <c r="Q12" i="4"/>
  <c r="R12" i="4"/>
  <c r="S12" i="4"/>
  <c r="B13" i="4"/>
  <c r="H13" i="4"/>
  <c r="I13" i="4"/>
  <c r="J13" i="4"/>
  <c r="K13" i="4"/>
  <c r="L13" i="4"/>
  <c r="M13" i="4"/>
  <c r="N13" i="4"/>
  <c r="O13" i="4"/>
  <c r="P13" i="4"/>
  <c r="Q13" i="4"/>
  <c r="R13" i="4"/>
  <c r="S13" i="4"/>
  <c r="B14" i="4"/>
  <c r="H14" i="4"/>
  <c r="I14" i="4"/>
  <c r="J14" i="4"/>
  <c r="K14" i="4"/>
  <c r="L14" i="4"/>
  <c r="M14" i="4"/>
  <c r="N14" i="4"/>
  <c r="O14" i="4"/>
  <c r="P14" i="4"/>
  <c r="Q14" i="4"/>
  <c r="R14" i="4"/>
  <c r="S14" i="4"/>
  <c r="B15" i="4"/>
  <c r="H15" i="4"/>
  <c r="I15" i="4"/>
  <c r="J15" i="4"/>
  <c r="K15" i="4"/>
  <c r="L15" i="4"/>
  <c r="M15" i="4"/>
  <c r="N15" i="4"/>
  <c r="O15" i="4"/>
  <c r="P15" i="4"/>
  <c r="Q15" i="4"/>
  <c r="R15" i="4"/>
  <c r="S15" i="4"/>
  <c r="B16" i="4"/>
  <c r="H16" i="4"/>
  <c r="I16" i="4"/>
  <c r="J16" i="4"/>
  <c r="K16" i="4"/>
  <c r="L16" i="4"/>
  <c r="M16" i="4"/>
  <c r="N16" i="4"/>
  <c r="O16" i="4"/>
  <c r="P16" i="4"/>
  <c r="Q16" i="4"/>
  <c r="R16" i="4"/>
  <c r="S16" i="4"/>
  <c r="B17" i="4"/>
  <c r="H17" i="4"/>
  <c r="I17" i="4"/>
  <c r="J17" i="4"/>
  <c r="K17" i="4"/>
  <c r="L17" i="4"/>
  <c r="M17" i="4"/>
  <c r="N17" i="4"/>
  <c r="O17" i="4"/>
  <c r="P17" i="4"/>
  <c r="Q17" i="4"/>
  <c r="R17" i="4"/>
  <c r="S17" i="4"/>
  <c r="B18" i="4"/>
  <c r="H18" i="4"/>
  <c r="I18" i="4"/>
  <c r="J18" i="4"/>
  <c r="K18" i="4"/>
  <c r="L18" i="4"/>
  <c r="M18" i="4"/>
  <c r="N18" i="4"/>
  <c r="O18" i="4"/>
  <c r="P18" i="4"/>
  <c r="Q18" i="4"/>
  <c r="R18" i="4"/>
  <c r="B19" i="4"/>
  <c r="H19" i="4"/>
  <c r="I19" i="4"/>
  <c r="J19" i="4"/>
  <c r="K19" i="4"/>
  <c r="L19" i="4"/>
  <c r="M19" i="4"/>
  <c r="N19" i="4"/>
  <c r="O19" i="4"/>
  <c r="P19" i="4"/>
  <c r="Q19" i="4"/>
  <c r="R19" i="4"/>
  <c r="S19" i="4"/>
  <c r="B20" i="4"/>
  <c r="H20" i="4"/>
  <c r="I20" i="4"/>
  <c r="J20" i="4"/>
  <c r="K20" i="4"/>
  <c r="L20" i="4"/>
  <c r="M20" i="4"/>
  <c r="N20" i="4"/>
  <c r="O20" i="4"/>
  <c r="P20" i="4"/>
  <c r="Q20" i="4"/>
  <c r="R20" i="4"/>
  <c r="S20" i="4"/>
  <c r="B21" i="4"/>
  <c r="H21" i="4"/>
  <c r="I21" i="4"/>
  <c r="J21" i="4"/>
  <c r="K21" i="4"/>
  <c r="L21" i="4"/>
  <c r="M21" i="4"/>
  <c r="N21" i="4"/>
  <c r="O21" i="4"/>
  <c r="P21" i="4"/>
  <c r="Q21" i="4"/>
  <c r="R21" i="4"/>
  <c r="S21" i="4"/>
  <c r="S5" i="4"/>
  <c r="R5" i="4"/>
  <c r="Q5" i="4"/>
  <c r="P5" i="4"/>
  <c r="O5" i="4"/>
  <c r="N5" i="4"/>
  <c r="M5" i="4"/>
  <c r="L5" i="4"/>
  <c r="K5" i="4"/>
  <c r="J5" i="4"/>
  <c r="I5" i="4"/>
  <c r="H5" i="4"/>
  <c r="B5" i="4"/>
  <c r="B6" i="3"/>
  <c r="H6" i="3"/>
  <c r="I6" i="3"/>
  <c r="J6" i="3"/>
  <c r="K6" i="3"/>
  <c r="L6" i="3"/>
  <c r="M6" i="3"/>
  <c r="N6" i="3"/>
  <c r="O6" i="3"/>
  <c r="P6" i="3"/>
  <c r="Q6" i="3"/>
  <c r="R6" i="3"/>
  <c r="S6" i="3"/>
  <c r="B7" i="3"/>
  <c r="H7" i="3"/>
  <c r="I7" i="3"/>
  <c r="J7" i="3"/>
  <c r="K7" i="3"/>
  <c r="L7" i="3"/>
  <c r="M7" i="3"/>
  <c r="N7" i="3"/>
  <c r="O7" i="3"/>
  <c r="P7" i="3"/>
  <c r="Q7" i="3"/>
  <c r="R7" i="3"/>
  <c r="S7" i="3"/>
  <c r="B8" i="3"/>
  <c r="H8" i="3"/>
  <c r="I8" i="3"/>
  <c r="J8" i="3"/>
  <c r="K8" i="3"/>
  <c r="L8" i="3"/>
  <c r="M8" i="3"/>
  <c r="N8" i="3"/>
  <c r="O8" i="3"/>
  <c r="P8" i="3"/>
  <c r="Q8" i="3"/>
  <c r="R8" i="3"/>
  <c r="S8" i="3"/>
  <c r="B9" i="3"/>
  <c r="H9" i="3"/>
  <c r="I9" i="3"/>
  <c r="J9" i="3"/>
  <c r="K9" i="3"/>
  <c r="L9" i="3"/>
  <c r="M9" i="3"/>
  <c r="N9" i="3"/>
  <c r="O9" i="3"/>
  <c r="P9" i="3"/>
  <c r="Q9" i="3"/>
  <c r="R9" i="3"/>
  <c r="S9" i="3"/>
  <c r="B10" i="3"/>
  <c r="H10" i="3"/>
  <c r="I10" i="3"/>
  <c r="J10" i="3"/>
  <c r="K10" i="3"/>
  <c r="L10" i="3"/>
  <c r="M10" i="3"/>
  <c r="N10" i="3"/>
  <c r="O10" i="3"/>
  <c r="P10" i="3"/>
  <c r="Q10" i="3"/>
  <c r="R10" i="3"/>
  <c r="S10" i="3"/>
  <c r="B11" i="3"/>
  <c r="H11" i="3"/>
  <c r="I11" i="3"/>
  <c r="J11" i="3"/>
  <c r="K11" i="3"/>
  <c r="L11" i="3"/>
  <c r="M11" i="3"/>
  <c r="N11" i="3"/>
  <c r="O11" i="3"/>
  <c r="P11" i="3"/>
  <c r="Q11" i="3"/>
  <c r="R11" i="3"/>
  <c r="S11" i="3"/>
  <c r="B12" i="3"/>
  <c r="H12" i="3"/>
  <c r="I12" i="3"/>
  <c r="J12" i="3"/>
  <c r="K12" i="3"/>
  <c r="L12" i="3"/>
  <c r="M12" i="3"/>
  <c r="N12" i="3"/>
  <c r="O12" i="3"/>
  <c r="P12" i="3"/>
  <c r="Q12" i="3"/>
  <c r="R12" i="3"/>
  <c r="S12" i="3"/>
  <c r="B13" i="3"/>
  <c r="H13" i="3"/>
  <c r="I13" i="3"/>
  <c r="J13" i="3"/>
  <c r="K13" i="3"/>
  <c r="L13" i="3"/>
  <c r="M13" i="3"/>
  <c r="N13" i="3"/>
  <c r="O13" i="3"/>
  <c r="P13" i="3"/>
  <c r="Q13" i="3"/>
  <c r="R13" i="3"/>
  <c r="S13" i="3"/>
  <c r="B14" i="3"/>
  <c r="H14" i="3"/>
  <c r="I14" i="3"/>
  <c r="J14" i="3"/>
  <c r="K14" i="3"/>
  <c r="L14" i="3"/>
  <c r="M14" i="3"/>
  <c r="N14" i="3"/>
  <c r="O14" i="3"/>
  <c r="P14" i="3"/>
  <c r="Q14" i="3"/>
  <c r="R14" i="3"/>
  <c r="S14" i="3"/>
  <c r="B15" i="3"/>
  <c r="H15" i="3"/>
  <c r="I15" i="3"/>
  <c r="J15" i="3"/>
  <c r="K15" i="3"/>
  <c r="L15" i="3"/>
  <c r="M15" i="3"/>
  <c r="N15" i="3"/>
  <c r="O15" i="3"/>
  <c r="P15" i="3"/>
  <c r="Q15" i="3"/>
  <c r="R15" i="3"/>
  <c r="S15" i="3"/>
  <c r="B16" i="3"/>
  <c r="H16" i="3"/>
  <c r="I16" i="3"/>
  <c r="J16" i="3"/>
  <c r="K16" i="3"/>
  <c r="L16" i="3"/>
  <c r="M16" i="3"/>
  <c r="N16" i="3"/>
  <c r="O16" i="3"/>
  <c r="P16" i="3"/>
  <c r="Q16" i="3"/>
  <c r="R16" i="3"/>
  <c r="B17" i="3"/>
  <c r="H17" i="3"/>
  <c r="I17" i="3"/>
  <c r="J17" i="3"/>
  <c r="K17" i="3"/>
  <c r="L17" i="3"/>
  <c r="M17" i="3"/>
  <c r="N17" i="3"/>
  <c r="O17" i="3"/>
  <c r="P17" i="3"/>
  <c r="Q17" i="3"/>
  <c r="R17" i="3"/>
  <c r="S17" i="3"/>
  <c r="B18" i="3"/>
  <c r="H18" i="3"/>
  <c r="I18" i="3"/>
  <c r="J18" i="3"/>
  <c r="K18" i="3"/>
  <c r="L18" i="3"/>
  <c r="M18" i="3"/>
  <c r="N18" i="3"/>
  <c r="O18" i="3"/>
  <c r="P18" i="3"/>
  <c r="Q18" i="3"/>
  <c r="R18" i="3"/>
  <c r="S18" i="3"/>
  <c r="B19" i="3"/>
  <c r="H19" i="3"/>
  <c r="I19" i="3"/>
  <c r="J19" i="3"/>
  <c r="K19" i="3"/>
  <c r="L19" i="3"/>
  <c r="M19" i="3"/>
  <c r="N19" i="3"/>
  <c r="O19" i="3"/>
  <c r="P19" i="3"/>
  <c r="Q19" i="3"/>
  <c r="R19" i="3"/>
  <c r="S19" i="3"/>
  <c r="B20" i="3"/>
  <c r="H20" i="3"/>
  <c r="I20" i="3"/>
  <c r="J20" i="3"/>
  <c r="K20" i="3"/>
  <c r="L20" i="3"/>
  <c r="M20" i="3"/>
  <c r="N20" i="3"/>
  <c r="O20" i="3"/>
  <c r="P20" i="3"/>
  <c r="Q20" i="3"/>
  <c r="R20" i="3"/>
  <c r="S20" i="3"/>
  <c r="B21" i="3"/>
  <c r="H21" i="3"/>
  <c r="I21" i="3"/>
  <c r="J21" i="3"/>
  <c r="K21" i="3"/>
  <c r="L21" i="3"/>
  <c r="M21" i="3"/>
  <c r="N21" i="3"/>
  <c r="O21" i="3"/>
  <c r="P21" i="3"/>
  <c r="Q21" i="3"/>
  <c r="R21" i="3"/>
  <c r="S21" i="3"/>
  <c r="B22" i="3"/>
  <c r="H22" i="3"/>
  <c r="I22" i="3"/>
  <c r="J22" i="3"/>
  <c r="K22" i="3"/>
  <c r="L22" i="3"/>
  <c r="M22" i="3"/>
  <c r="N22" i="3"/>
  <c r="O22" i="3"/>
  <c r="P22" i="3"/>
  <c r="Q22" i="3"/>
  <c r="R22" i="3"/>
  <c r="S22" i="3"/>
  <c r="B23" i="3"/>
  <c r="H23" i="3"/>
  <c r="I23" i="3"/>
  <c r="J23" i="3"/>
  <c r="K23" i="3"/>
  <c r="L23" i="3"/>
  <c r="M23" i="3"/>
  <c r="N23" i="3"/>
  <c r="O23" i="3"/>
  <c r="P23" i="3"/>
  <c r="Q23" i="3"/>
  <c r="R23" i="3"/>
  <c r="S23" i="3"/>
  <c r="B24" i="3"/>
  <c r="H24" i="3"/>
  <c r="I24" i="3"/>
  <c r="J24" i="3"/>
  <c r="K24" i="3"/>
  <c r="L24" i="3"/>
  <c r="M24" i="3"/>
  <c r="N24" i="3"/>
  <c r="O24" i="3"/>
  <c r="P24" i="3"/>
  <c r="Q24" i="3"/>
  <c r="R24" i="3"/>
  <c r="S24" i="3"/>
  <c r="B25" i="3"/>
  <c r="H25" i="3"/>
  <c r="I25" i="3"/>
  <c r="J25" i="3"/>
  <c r="K25" i="3"/>
  <c r="L25" i="3"/>
  <c r="M25" i="3"/>
  <c r="N25" i="3"/>
  <c r="O25" i="3"/>
  <c r="P25" i="3"/>
  <c r="Q25" i="3"/>
  <c r="R25" i="3"/>
  <c r="S25" i="3"/>
  <c r="B26" i="3"/>
  <c r="H26" i="3"/>
  <c r="I26" i="3"/>
  <c r="J26" i="3"/>
  <c r="K26" i="3"/>
  <c r="L26" i="3"/>
  <c r="M26" i="3"/>
  <c r="N26" i="3"/>
  <c r="O26" i="3"/>
  <c r="P26" i="3"/>
  <c r="Q26" i="3"/>
  <c r="R26" i="3"/>
  <c r="S26" i="3"/>
  <c r="B27" i="3"/>
  <c r="H27" i="3"/>
  <c r="I27" i="3"/>
  <c r="J27" i="3"/>
  <c r="K27" i="3"/>
  <c r="L27" i="3"/>
  <c r="M27" i="3"/>
  <c r="N27" i="3"/>
  <c r="O27" i="3"/>
  <c r="P27" i="3"/>
  <c r="Q27" i="3"/>
  <c r="R27" i="3"/>
  <c r="S27" i="3"/>
  <c r="B28" i="3"/>
  <c r="H28" i="3"/>
  <c r="I28" i="3"/>
  <c r="J28" i="3"/>
  <c r="K28" i="3"/>
  <c r="L28" i="3"/>
  <c r="M28" i="3"/>
  <c r="N28" i="3"/>
  <c r="O28" i="3"/>
  <c r="P28" i="3"/>
  <c r="Q28" i="3"/>
  <c r="R28" i="3"/>
  <c r="S28" i="3"/>
  <c r="B29" i="3"/>
  <c r="H29" i="3"/>
  <c r="I29" i="3"/>
  <c r="J29" i="3"/>
  <c r="K29" i="3"/>
  <c r="L29" i="3"/>
  <c r="M29" i="3"/>
  <c r="N29" i="3"/>
  <c r="O29" i="3"/>
  <c r="P29" i="3"/>
  <c r="Q29" i="3"/>
  <c r="R29" i="3"/>
  <c r="S29" i="3"/>
  <c r="B30" i="3"/>
  <c r="H30" i="3"/>
  <c r="I30" i="3"/>
  <c r="J30" i="3"/>
  <c r="K30" i="3"/>
  <c r="L30" i="3"/>
  <c r="M30" i="3"/>
  <c r="N30" i="3"/>
  <c r="O30" i="3"/>
  <c r="P30" i="3"/>
  <c r="Q30" i="3"/>
  <c r="R30" i="3"/>
  <c r="S30" i="3"/>
  <c r="S5" i="3"/>
  <c r="R5" i="3"/>
  <c r="Q5" i="3"/>
  <c r="P5" i="3"/>
  <c r="O5" i="3"/>
  <c r="N5" i="3"/>
  <c r="M5" i="3"/>
  <c r="L5" i="3"/>
  <c r="K5" i="3"/>
  <c r="J5" i="3"/>
  <c r="I5" i="3"/>
  <c r="H5" i="3"/>
  <c r="B5" i="3"/>
  <c r="H6" i="6"/>
  <c r="I6" i="6"/>
  <c r="J6" i="6"/>
  <c r="K6" i="6"/>
  <c r="L6" i="6"/>
  <c r="M6" i="6"/>
  <c r="N6" i="6"/>
  <c r="O6" i="6"/>
  <c r="P6" i="6"/>
  <c r="Q6" i="6"/>
  <c r="R6" i="6"/>
  <c r="H7" i="6"/>
  <c r="I7" i="6"/>
  <c r="J7" i="6"/>
  <c r="K7" i="6"/>
  <c r="L7" i="6"/>
  <c r="M7" i="6"/>
  <c r="N7" i="6"/>
  <c r="O7" i="6"/>
  <c r="P7" i="6"/>
  <c r="Q7" i="6"/>
  <c r="R7" i="6"/>
  <c r="I8" i="6"/>
  <c r="J8" i="6"/>
  <c r="K8" i="6"/>
  <c r="L8" i="6"/>
  <c r="M8" i="6"/>
  <c r="N8" i="6"/>
  <c r="O8" i="6"/>
  <c r="P8" i="6"/>
  <c r="Q8" i="6"/>
  <c r="R8" i="6"/>
  <c r="H9" i="6"/>
  <c r="I9" i="6"/>
  <c r="J9" i="6"/>
  <c r="K9" i="6"/>
  <c r="L9" i="6"/>
  <c r="M9" i="6"/>
  <c r="N9" i="6"/>
  <c r="O9" i="6"/>
  <c r="P9" i="6"/>
  <c r="Q9" i="6"/>
  <c r="R9" i="6"/>
  <c r="H10" i="6"/>
  <c r="I10" i="6"/>
  <c r="J10" i="6"/>
  <c r="K10" i="6"/>
  <c r="L10" i="6"/>
  <c r="M10" i="6"/>
  <c r="N10" i="6"/>
  <c r="O10" i="6"/>
  <c r="P10" i="6"/>
  <c r="Q10" i="6"/>
  <c r="R10" i="6"/>
  <c r="H11" i="6"/>
  <c r="I11" i="6"/>
  <c r="J11" i="6"/>
  <c r="K11" i="6"/>
  <c r="L11" i="6"/>
  <c r="M11" i="6"/>
  <c r="N11" i="6"/>
  <c r="O11" i="6"/>
  <c r="P11" i="6"/>
  <c r="Q11" i="6"/>
  <c r="R11" i="6"/>
  <c r="H12" i="6"/>
  <c r="I12" i="6"/>
  <c r="J12" i="6"/>
  <c r="K12" i="6"/>
  <c r="L12" i="6"/>
  <c r="M12" i="6"/>
  <c r="N12" i="6"/>
  <c r="O12" i="6"/>
  <c r="P12" i="6"/>
  <c r="Q12" i="6"/>
  <c r="R12" i="6"/>
  <c r="H13" i="6"/>
  <c r="I13" i="6"/>
  <c r="J13" i="6"/>
  <c r="K13" i="6"/>
  <c r="L13" i="6"/>
  <c r="M13" i="6"/>
  <c r="N13" i="6"/>
  <c r="O13" i="6"/>
  <c r="P13" i="6"/>
  <c r="Q13" i="6"/>
  <c r="R13" i="6"/>
  <c r="H14" i="6"/>
  <c r="I14" i="6"/>
  <c r="J14" i="6"/>
  <c r="K14" i="6"/>
  <c r="L14" i="6"/>
  <c r="M14" i="6"/>
  <c r="N14" i="6"/>
  <c r="O14" i="6"/>
  <c r="P14" i="6"/>
  <c r="Q14" i="6"/>
  <c r="R14" i="6"/>
  <c r="H15" i="6"/>
  <c r="I15" i="6"/>
  <c r="J15" i="6"/>
  <c r="K15" i="6"/>
  <c r="L15" i="6"/>
  <c r="M15" i="6"/>
  <c r="N15" i="6"/>
  <c r="O15" i="6"/>
  <c r="P15" i="6"/>
  <c r="Q15" i="6"/>
  <c r="R15" i="6"/>
  <c r="H16" i="6"/>
  <c r="I16" i="6"/>
  <c r="J16" i="6"/>
  <c r="K16" i="6"/>
  <c r="L16" i="6"/>
  <c r="M16" i="6"/>
  <c r="N16" i="6"/>
  <c r="O16" i="6"/>
  <c r="P16" i="6"/>
  <c r="Q16" i="6"/>
  <c r="R16" i="6"/>
  <c r="H17" i="6"/>
  <c r="I17" i="6"/>
  <c r="J17" i="6"/>
  <c r="K17" i="6"/>
  <c r="L17" i="6"/>
  <c r="M17" i="6"/>
  <c r="N17" i="6"/>
  <c r="O17" i="6"/>
  <c r="Q17" i="6"/>
  <c r="H18" i="6"/>
  <c r="I18" i="6"/>
  <c r="J18" i="6"/>
  <c r="K18" i="6"/>
  <c r="L18" i="6"/>
  <c r="M18" i="6"/>
  <c r="N18" i="6"/>
  <c r="O18" i="6"/>
  <c r="P18" i="6"/>
  <c r="Q18" i="6"/>
  <c r="R18" i="6"/>
  <c r="H19" i="6"/>
  <c r="I19" i="6"/>
  <c r="J19" i="6"/>
  <c r="K19" i="6"/>
  <c r="L19" i="6"/>
  <c r="M19" i="6"/>
  <c r="N19" i="6"/>
  <c r="O19" i="6"/>
  <c r="P19" i="6"/>
  <c r="Q19" i="6"/>
  <c r="R19" i="6"/>
  <c r="H20" i="6"/>
  <c r="I20" i="6"/>
  <c r="J20" i="6"/>
  <c r="K20" i="6"/>
  <c r="L20" i="6"/>
  <c r="M20" i="6"/>
  <c r="N20" i="6"/>
  <c r="O20" i="6"/>
  <c r="P20" i="6"/>
  <c r="Q20" i="6"/>
  <c r="R20" i="6"/>
  <c r="R5" i="6"/>
  <c r="Q5" i="6"/>
  <c r="P5" i="6"/>
  <c r="O5" i="6"/>
  <c r="N5" i="6"/>
  <c r="M5" i="6"/>
  <c r="L5" i="6"/>
  <c r="K5" i="6"/>
  <c r="J5" i="6"/>
  <c r="I5" i="6"/>
  <c r="H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5" i="6"/>
  <c r="H6" i="2"/>
  <c r="I6" i="2"/>
  <c r="J6" i="2"/>
  <c r="K6" i="2"/>
  <c r="L6" i="2"/>
  <c r="M6" i="2"/>
  <c r="N6" i="2"/>
  <c r="O6" i="2"/>
  <c r="P6" i="2"/>
  <c r="Q6" i="2"/>
  <c r="R6" i="2"/>
  <c r="S6" i="2"/>
  <c r="H7" i="2"/>
  <c r="I7" i="2"/>
  <c r="J7" i="2"/>
  <c r="K7" i="2"/>
  <c r="L7" i="2"/>
  <c r="M7" i="2"/>
  <c r="N7" i="2"/>
  <c r="O7" i="2"/>
  <c r="P7" i="2"/>
  <c r="Q7" i="2"/>
  <c r="R7" i="2"/>
  <c r="S7" i="2"/>
  <c r="H8" i="2"/>
  <c r="I8" i="2"/>
  <c r="J8" i="2"/>
  <c r="K8" i="2"/>
  <c r="L8" i="2"/>
  <c r="M8" i="2"/>
  <c r="N8" i="2"/>
  <c r="O8" i="2"/>
  <c r="P8" i="2"/>
  <c r="Q8" i="2"/>
  <c r="R8" i="2"/>
  <c r="S8" i="2"/>
  <c r="H9" i="2"/>
  <c r="I9" i="2"/>
  <c r="J9" i="2"/>
  <c r="K9" i="2"/>
  <c r="L9" i="2"/>
  <c r="M9" i="2"/>
  <c r="N9" i="2"/>
  <c r="O9" i="2"/>
  <c r="P9" i="2"/>
  <c r="Q9" i="2"/>
  <c r="R9" i="2"/>
  <c r="S9" i="2"/>
  <c r="H10" i="2"/>
  <c r="I10" i="2"/>
  <c r="J10" i="2"/>
  <c r="K10" i="2"/>
  <c r="L10" i="2"/>
  <c r="M10" i="2"/>
  <c r="N10" i="2"/>
  <c r="O10" i="2"/>
  <c r="P10" i="2"/>
  <c r="Q10" i="2"/>
  <c r="R10" i="2"/>
  <c r="S10" i="2"/>
  <c r="H11" i="2"/>
  <c r="I11" i="2"/>
  <c r="J11" i="2"/>
  <c r="K11" i="2"/>
  <c r="L11" i="2"/>
  <c r="M11" i="2"/>
  <c r="N11" i="2"/>
  <c r="O11" i="2"/>
  <c r="P11" i="2"/>
  <c r="Q11" i="2"/>
  <c r="R11" i="2"/>
  <c r="S11" i="2"/>
  <c r="H12" i="2"/>
  <c r="I12" i="2"/>
  <c r="J12" i="2"/>
  <c r="K12" i="2"/>
  <c r="L12" i="2"/>
  <c r="M12" i="2"/>
  <c r="N12" i="2"/>
  <c r="O12" i="2"/>
  <c r="P12" i="2"/>
  <c r="Q12" i="2"/>
  <c r="R12" i="2"/>
  <c r="S12" i="2"/>
  <c r="H13" i="2"/>
  <c r="I13" i="2"/>
  <c r="J13" i="2"/>
  <c r="K13" i="2"/>
  <c r="L13" i="2"/>
  <c r="M13" i="2"/>
  <c r="N13" i="2"/>
  <c r="O13" i="2"/>
  <c r="P13" i="2"/>
  <c r="Q13" i="2"/>
  <c r="R13" i="2"/>
  <c r="S13" i="2"/>
  <c r="H14" i="2"/>
  <c r="I14" i="2"/>
  <c r="J14" i="2"/>
  <c r="K14" i="2"/>
  <c r="L14" i="2"/>
  <c r="M14" i="2"/>
  <c r="N14" i="2"/>
  <c r="O14" i="2"/>
  <c r="P14" i="2"/>
  <c r="Q14" i="2"/>
  <c r="R14" i="2"/>
  <c r="S14" i="2"/>
  <c r="H15" i="2"/>
  <c r="I15" i="2"/>
  <c r="J15" i="2"/>
  <c r="K15" i="2"/>
  <c r="L15" i="2"/>
  <c r="M15" i="2"/>
  <c r="N15" i="2"/>
  <c r="O15" i="2"/>
  <c r="P15" i="2"/>
  <c r="Q15" i="2"/>
  <c r="R15" i="2"/>
  <c r="S15" i="2"/>
  <c r="H16" i="2"/>
  <c r="I16" i="2"/>
  <c r="J16" i="2"/>
  <c r="K16" i="2"/>
  <c r="L16" i="2"/>
  <c r="M16" i="2"/>
  <c r="N16" i="2"/>
  <c r="O16" i="2"/>
  <c r="P16" i="2"/>
  <c r="Q16" i="2"/>
  <c r="R16" i="2"/>
  <c r="S16" i="2"/>
  <c r="H17" i="2"/>
  <c r="I17" i="2"/>
  <c r="J17" i="2"/>
  <c r="K17" i="2"/>
  <c r="L17" i="2"/>
  <c r="M17" i="2"/>
  <c r="N17" i="2"/>
  <c r="O17" i="2"/>
  <c r="P17" i="2"/>
  <c r="Q17" i="2"/>
  <c r="R17" i="2"/>
  <c r="S17" i="2"/>
  <c r="H18" i="2"/>
  <c r="I18" i="2"/>
  <c r="J18" i="2"/>
  <c r="K18" i="2"/>
  <c r="L18" i="2"/>
  <c r="M18" i="2"/>
  <c r="N18" i="2"/>
  <c r="O18" i="2"/>
  <c r="P18" i="2"/>
  <c r="Q18" i="2"/>
  <c r="R18" i="2"/>
  <c r="S18" i="2"/>
  <c r="H19" i="2"/>
  <c r="I19" i="2"/>
  <c r="J19" i="2"/>
  <c r="K19" i="2"/>
  <c r="L19" i="2"/>
  <c r="M19" i="2"/>
  <c r="N19" i="2"/>
  <c r="O19" i="2"/>
  <c r="P19" i="2"/>
  <c r="Q19" i="2"/>
  <c r="R19" i="2"/>
  <c r="S19" i="2"/>
  <c r="H20" i="2"/>
  <c r="I20" i="2"/>
  <c r="J20" i="2"/>
  <c r="K20" i="2"/>
  <c r="L20" i="2"/>
  <c r="M20" i="2"/>
  <c r="N20" i="2"/>
  <c r="O20" i="2"/>
  <c r="P20" i="2"/>
  <c r="Q20" i="2"/>
  <c r="R20" i="2"/>
  <c r="S20" i="2"/>
  <c r="H21" i="2"/>
  <c r="I21" i="2"/>
  <c r="J21" i="2"/>
  <c r="K21" i="2"/>
  <c r="L21" i="2"/>
  <c r="M21" i="2"/>
  <c r="N21" i="2"/>
  <c r="O21" i="2"/>
  <c r="P21" i="2"/>
  <c r="Q21" i="2"/>
  <c r="R21" i="2"/>
  <c r="S21" i="2"/>
  <c r="H22" i="2"/>
  <c r="I22" i="2"/>
  <c r="J22" i="2"/>
  <c r="K22" i="2"/>
  <c r="L22" i="2"/>
  <c r="M22" i="2"/>
  <c r="N22" i="2"/>
  <c r="O22" i="2"/>
  <c r="P22" i="2"/>
  <c r="Q22" i="2"/>
  <c r="R22" i="2"/>
  <c r="S22" i="2"/>
  <c r="H23" i="2"/>
  <c r="I23" i="2"/>
  <c r="J23" i="2"/>
  <c r="K23" i="2"/>
  <c r="L23" i="2"/>
  <c r="M23" i="2"/>
  <c r="N23" i="2"/>
  <c r="O23" i="2"/>
  <c r="P23" i="2"/>
  <c r="Q23" i="2"/>
  <c r="R23" i="2"/>
  <c r="S23" i="2"/>
  <c r="H24" i="2"/>
  <c r="I24" i="2"/>
  <c r="J24" i="2"/>
  <c r="K24" i="2"/>
  <c r="L24" i="2"/>
  <c r="M24" i="2"/>
  <c r="N24" i="2"/>
  <c r="O24" i="2"/>
  <c r="P24" i="2"/>
  <c r="Q24" i="2"/>
  <c r="R24" i="2"/>
  <c r="S24" i="2"/>
  <c r="H25" i="2"/>
  <c r="I25" i="2"/>
  <c r="J25" i="2"/>
  <c r="K25" i="2"/>
  <c r="L25" i="2"/>
  <c r="M25" i="2"/>
  <c r="N25" i="2"/>
  <c r="O25" i="2"/>
  <c r="P25" i="2"/>
  <c r="Q25" i="2"/>
  <c r="R25" i="2"/>
  <c r="S25" i="2"/>
  <c r="H26" i="2"/>
  <c r="I26" i="2"/>
  <c r="J26" i="2"/>
  <c r="K26" i="2"/>
  <c r="L26" i="2"/>
  <c r="M26" i="2"/>
  <c r="N26" i="2"/>
  <c r="O26" i="2"/>
  <c r="P26" i="2"/>
  <c r="Q26" i="2"/>
  <c r="R26" i="2"/>
  <c r="S26" i="2"/>
  <c r="H27" i="2"/>
  <c r="I27" i="2"/>
  <c r="J27" i="2"/>
  <c r="K27" i="2"/>
  <c r="L27" i="2"/>
  <c r="M27" i="2"/>
  <c r="N27" i="2"/>
  <c r="O27" i="2"/>
  <c r="P27" i="2"/>
  <c r="Q27" i="2"/>
  <c r="R27" i="2"/>
  <c r="H28" i="2"/>
  <c r="I28" i="2"/>
  <c r="J28" i="2"/>
  <c r="K28" i="2"/>
  <c r="L28" i="2"/>
  <c r="M28" i="2"/>
  <c r="N28" i="2"/>
  <c r="O28" i="2"/>
  <c r="P28" i="2"/>
  <c r="Q28" i="2"/>
  <c r="R28" i="2"/>
  <c r="S28" i="2"/>
  <c r="H29" i="2"/>
  <c r="I29" i="2"/>
  <c r="J29" i="2"/>
  <c r="K29" i="2"/>
  <c r="L29" i="2"/>
  <c r="M29" i="2"/>
  <c r="N29" i="2"/>
  <c r="O29" i="2"/>
  <c r="P29" i="2"/>
  <c r="Q29" i="2"/>
  <c r="R29" i="2"/>
  <c r="S29" i="2"/>
  <c r="H30" i="2"/>
  <c r="I30" i="2"/>
  <c r="J30" i="2"/>
  <c r="K30" i="2"/>
  <c r="L30" i="2"/>
  <c r="M30" i="2"/>
  <c r="N30" i="2"/>
  <c r="O30" i="2"/>
  <c r="P30" i="2"/>
  <c r="Q30" i="2"/>
  <c r="R30" i="2"/>
  <c r="S30" i="2"/>
  <c r="H31" i="2"/>
  <c r="I31" i="2"/>
  <c r="J31" i="2"/>
  <c r="K31" i="2"/>
  <c r="L31" i="2"/>
  <c r="M31" i="2"/>
  <c r="N31" i="2"/>
  <c r="O31" i="2"/>
  <c r="P31" i="2"/>
  <c r="Q31" i="2"/>
  <c r="R31" i="2"/>
  <c r="H32" i="2"/>
  <c r="I32" i="2"/>
  <c r="J32" i="2"/>
  <c r="K32" i="2"/>
  <c r="L32" i="2"/>
  <c r="M32" i="2"/>
  <c r="N32" i="2"/>
  <c r="O32" i="2"/>
  <c r="P32" i="2"/>
  <c r="Q32" i="2"/>
  <c r="R32" i="2"/>
  <c r="S32" i="2"/>
  <c r="H33" i="2"/>
  <c r="I33" i="2"/>
  <c r="J33" i="2"/>
  <c r="K33" i="2"/>
  <c r="L33" i="2"/>
  <c r="M33" i="2"/>
  <c r="N33" i="2"/>
  <c r="O33" i="2"/>
  <c r="P33" i="2"/>
  <c r="Q33" i="2"/>
  <c r="R33" i="2"/>
  <c r="S33" i="2"/>
  <c r="H34" i="2"/>
  <c r="I34" i="2"/>
  <c r="J34" i="2"/>
  <c r="K34" i="2"/>
  <c r="L34" i="2"/>
  <c r="M34" i="2"/>
  <c r="N34" i="2"/>
  <c r="O34" i="2"/>
  <c r="P34" i="2"/>
  <c r="Q34" i="2"/>
  <c r="R34" i="2"/>
  <c r="S34" i="2"/>
  <c r="H35" i="2"/>
  <c r="I35" i="2"/>
  <c r="J35" i="2"/>
  <c r="K35" i="2"/>
  <c r="L35" i="2"/>
  <c r="M35" i="2"/>
  <c r="N35" i="2"/>
  <c r="O35" i="2"/>
  <c r="P35" i="2"/>
  <c r="Q35" i="2"/>
  <c r="R35" i="2"/>
  <c r="S35" i="2"/>
  <c r="H36" i="2"/>
  <c r="I36" i="2"/>
  <c r="J36" i="2"/>
  <c r="K36" i="2"/>
  <c r="L36" i="2"/>
  <c r="M36" i="2"/>
  <c r="N36" i="2"/>
  <c r="O36" i="2"/>
  <c r="P36" i="2"/>
  <c r="Q36" i="2"/>
  <c r="R36" i="2"/>
  <c r="S36" i="2"/>
  <c r="H37" i="2"/>
  <c r="I37" i="2"/>
  <c r="J37" i="2"/>
  <c r="K37" i="2"/>
  <c r="L37" i="2"/>
  <c r="M37" i="2"/>
  <c r="N37" i="2"/>
  <c r="O37" i="2"/>
  <c r="P37" i="2"/>
  <c r="Q37" i="2"/>
  <c r="R37" i="2"/>
  <c r="S37" i="2"/>
  <c r="H38" i="2"/>
  <c r="I38" i="2"/>
  <c r="J38" i="2"/>
  <c r="K38" i="2"/>
  <c r="L38" i="2"/>
  <c r="M38" i="2"/>
  <c r="N38" i="2"/>
  <c r="O38" i="2"/>
  <c r="P38" i="2"/>
  <c r="Q38" i="2"/>
  <c r="R38" i="2"/>
  <c r="S38" i="2"/>
  <c r="H39" i="2"/>
  <c r="I39" i="2"/>
  <c r="J39" i="2"/>
  <c r="K39" i="2"/>
  <c r="L39" i="2"/>
  <c r="M39" i="2"/>
  <c r="N39" i="2"/>
  <c r="O39" i="2"/>
  <c r="P39" i="2"/>
  <c r="Q39" i="2"/>
  <c r="R39" i="2"/>
  <c r="S39" i="2"/>
  <c r="H40" i="2"/>
  <c r="I40" i="2"/>
  <c r="J40" i="2"/>
  <c r="K40" i="2"/>
  <c r="L40" i="2"/>
  <c r="M40" i="2"/>
  <c r="N40" i="2"/>
  <c r="O40" i="2"/>
  <c r="P40" i="2"/>
  <c r="Q40" i="2"/>
  <c r="R40" i="2"/>
  <c r="S40" i="2"/>
  <c r="H41" i="2"/>
  <c r="I41" i="2"/>
  <c r="J41" i="2"/>
  <c r="K41" i="2"/>
  <c r="L41" i="2"/>
  <c r="M41" i="2"/>
  <c r="N41" i="2"/>
  <c r="O41" i="2"/>
  <c r="P41" i="2"/>
  <c r="Q41" i="2"/>
  <c r="R41" i="2"/>
  <c r="S41" i="2"/>
  <c r="H42" i="2"/>
  <c r="I42" i="2"/>
  <c r="J42" i="2"/>
  <c r="K42" i="2"/>
  <c r="L42" i="2"/>
  <c r="M42" i="2"/>
  <c r="N42" i="2"/>
  <c r="O42" i="2"/>
  <c r="P42" i="2"/>
  <c r="Q42" i="2"/>
  <c r="R42" i="2"/>
  <c r="S42" i="2"/>
  <c r="H43" i="2"/>
  <c r="I43" i="2"/>
  <c r="J43" i="2"/>
  <c r="K43" i="2"/>
  <c r="L43" i="2"/>
  <c r="M43" i="2"/>
  <c r="N43" i="2"/>
  <c r="O43" i="2"/>
  <c r="P43" i="2"/>
  <c r="Q43" i="2"/>
  <c r="R43" i="2"/>
  <c r="S43" i="2"/>
  <c r="H44" i="2"/>
  <c r="I44" i="2"/>
  <c r="J44" i="2"/>
  <c r="K44" i="2"/>
  <c r="L44" i="2"/>
  <c r="M44" i="2"/>
  <c r="N44" i="2"/>
  <c r="O44" i="2"/>
  <c r="P44" i="2"/>
  <c r="Q44" i="2"/>
  <c r="R44" i="2"/>
  <c r="S44" i="2"/>
  <c r="H45" i="2"/>
  <c r="I45" i="2"/>
  <c r="J45" i="2"/>
  <c r="K45" i="2"/>
  <c r="L45" i="2"/>
  <c r="M45" i="2"/>
  <c r="N45" i="2"/>
  <c r="O45" i="2"/>
  <c r="P45" i="2"/>
  <c r="Q45" i="2"/>
  <c r="R45" i="2"/>
  <c r="S45" i="2"/>
  <c r="H46" i="2"/>
  <c r="I46" i="2"/>
  <c r="J46" i="2"/>
  <c r="K46" i="2"/>
  <c r="L46" i="2"/>
  <c r="M46" i="2"/>
  <c r="N46" i="2"/>
  <c r="O46" i="2"/>
  <c r="P46" i="2"/>
  <c r="Q46" i="2"/>
  <c r="R46" i="2"/>
  <c r="S46" i="2"/>
  <c r="H47" i="2"/>
  <c r="I47" i="2"/>
  <c r="J47" i="2"/>
  <c r="K47" i="2"/>
  <c r="L47" i="2"/>
  <c r="M47" i="2"/>
  <c r="N47" i="2"/>
  <c r="O47" i="2"/>
  <c r="P47" i="2"/>
  <c r="Q47" i="2"/>
  <c r="R47" i="2"/>
  <c r="S47" i="2"/>
  <c r="H48" i="2"/>
  <c r="I48" i="2"/>
  <c r="J48" i="2"/>
  <c r="K48" i="2"/>
  <c r="L48" i="2"/>
  <c r="M48" i="2"/>
  <c r="N48" i="2"/>
  <c r="O48" i="2"/>
  <c r="P48" i="2"/>
  <c r="Q48" i="2"/>
  <c r="R48" i="2"/>
  <c r="S48" i="2"/>
  <c r="H49" i="2"/>
  <c r="I49" i="2"/>
  <c r="J49" i="2"/>
  <c r="K49" i="2"/>
  <c r="L49" i="2"/>
  <c r="M49" i="2"/>
  <c r="N49" i="2"/>
  <c r="O49" i="2"/>
  <c r="P49" i="2"/>
  <c r="Q49" i="2"/>
  <c r="R49" i="2"/>
  <c r="S49" i="2"/>
  <c r="H50" i="2"/>
  <c r="I50" i="2"/>
  <c r="J50" i="2"/>
  <c r="K50" i="2"/>
  <c r="L50" i="2"/>
  <c r="M50" i="2"/>
  <c r="N50" i="2"/>
  <c r="O50" i="2"/>
  <c r="P50" i="2"/>
  <c r="Q50" i="2"/>
  <c r="R50" i="2"/>
  <c r="S50" i="2"/>
  <c r="H51" i="2"/>
  <c r="I51" i="2"/>
  <c r="J51" i="2"/>
  <c r="K51" i="2"/>
  <c r="L51" i="2"/>
  <c r="M51" i="2"/>
  <c r="N51" i="2"/>
  <c r="O51" i="2"/>
  <c r="P51" i="2"/>
  <c r="Q51" i="2"/>
  <c r="R51" i="2"/>
  <c r="S51" i="2"/>
  <c r="H52" i="2"/>
  <c r="I52" i="2"/>
  <c r="J52" i="2"/>
  <c r="K52" i="2"/>
  <c r="L52" i="2"/>
  <c r="M52" i="2"/>
  <c r="N52" i="2"/>
  <c r="O52" i="2"/>
  <c r="P52" i="2"/>
  <c r="Q52" i="2"/>
  <c r="R52" i="2"/>
  <c r="S52" i="2"/>
  <c r="S5" i="2"/>
  <c r="R5" i="2"/>
  <c r="Q5" i="2"/>
  <c r="P5" i="2"/>
  <c r="O5" i="2"/>
  <c r="N5" i="2"/>
  <c r="M5" i="2"/>
  <c r="L5" i="2"/>
  <c r="K5" i="2"/>
  <c r="J5" i="2"/>
  <c r="I5" i="2"/>
  <c r="H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" i="2"/>
  <c r="L6" i="1"/>
  <c r="L7" i="1"/>
  <c r="L8" i="1"/>
  <c r="L9" i="1"/>
  <c r="L10" i="1"/>
  <c r="L11" i="1"/>
  <c r="L5" i="1"/>
  <c r="K112" i="10"/>
  <c r="K111" i="10"/>
  <c r="O118" i="10"/>
  <c r="N118" i="10"/>
  <c r="P107" i="10"/>
  <c r="P106" i="10"/>
  <c r="O103" i="10"/>
  <c r="K103" i="10"/>
  <c r="N103" i="10" s="1"/>
  <c r="F241" i="16" l="1"/>
  <c r="F233" i="16"/>
  <c r="F227" i="16"/>
  <c r="F223" i="16"/>
  <c r="F219" i="16"/>
  <c r="F215" i="16"/>
  <c r="F211" i="16"/>
  <c r="F207" i="16"/>
  <c r="F203" i="16"/>
  <c r="F199" i="16"/>
  <c r="F195" i="16"/>
  <c r="F191" i="16"/>
  <c r="F187" i="16"/>
  <c r="F183" i="16"/>
  <c r="F179" i="16"/>
  <c r="F175" i="16"/>
  <c r="F171" i="16"/>
  <c r="F167" i="16"/>
  <c r="F163" i="16"/>
  <c r="F155" i="16"/>
  <c r="F151" i="16"/>
  <c r="F147" i="16"/>
  <c r="F143" i="16"/>
  <c r="F139" i="16"/>
  <c r="F135" i="16"/>
  <c r="F131" i="16"/>
  <c r="F127" i="16"/>
  <c r="F235" i="16"/>
  <c r="P97" i="10" l="1"/>
  <c r="U91" i="10"/>
  <c r="U90" i="10"/>
  <c r="L90" i="10"/>
  <c r="U87" i="10"/>
  <c r="U85" i="10"/>
  <c r="U84" i="10"/>
  <c r="P84" i="10"/>
  <c r="U83" i="10"/>
  <c r="U81" i="10"/>
  <c r="U80" i="10"/>
  <c r="U79" i="10"/>
  <c r="U72" i="10"/>
  <c r="K69" i="10"/>
  <c r="K67" i="10"/>
  <c r="U65" i="10"/>
  <c r="K63" i="10"/>
  <c r="N63" i="10" s="1"/>
  <c r="N65" i="10" s="1"/>
  <c r="U64" i="10"/>
  <c r="U70" i="10"/>
  <c r="K70" i="10"/>
  <c r="U71" i="10"/>
  <c r="U60" i="10"/>
  <c r="K58" i="10"/>
  <c r="P48" i="10" l="1"/>
  <c r="BE47" i="10"/>
  <c r="AZ47" i="10"/>
  <c r="AX47" i="10"/>
  <c r="AR47" i="10"/>
  <c r="AO47" i="10"/>
  <c r="AG47" i="10"/>
  <c r="AI47" i="10" s="1"/>
  <c r="AD47" i="10"/>
  <c r="AA47" i="10"/>
  <c r="T47" i="10"/>
  <c r="P47" i="10"/>
  <c r="K47" i="10"/>
  <c r="U39" i="10"/>
  <c r="P31" i="10"/>
  <c r="P34" i="10"/>
  <c r="P32" i="10"/>
  <c r="P29" i="10"/>
  <c r="P27" i="10"/>
  <c r="P26" i="10"/>
  <c r="P25" i="10"/>
  <c r="K16" i="10"/>
  <c r="K15" i="10"/>
  <c r="AF47" i="10" l="1"/>
  <c r="AJ47" i="10"/>
  <c r="AL47" i="10" s="1"/>
  <c r="AS47" i="10" s="1"/>
  <c r="N47" i="10"/>
  <c r="O47" i="10"/>
  <c r="V47" i="10" l="1"/>
  <c r="AT47" i="10" s="1"/>
  <c r="BH47" i="10" s="1"/>
  <c r="BA47" i="10" l="1"/>
  <c r="U13" i="10" l="1"/>
  <c r="U8" i="10"/>
  <c r="AR72" i="10" l="1"/>
  <c r="AR73" i="10"/>
  <c r="AR70" i="10"/>
  <c r="AO72" i="10"/>
  <c r="AO73" i="10"/>
  <c r="AO70" i="10"/>
  <c r="K82" i="10" l="1"/>
  <c r="K83" i="10"/>
  <c r="K21" i="10"/>
  <c r="K30" i="10"/>
  <c r="K38" i="10"/>
  <c r="AL16" i="10"/>
  <c r="AL35" i="10"/>
  <c r="AL34" i="10"/>
  <c r="AL49" i="10"/>
  <c r="AL54" i="10"/>
  <c r="AL55" i="10"/>
  <c r="AL56" i="10"/>
  <c r="AL57" i="10"/>
  <c r="AL71" i="10"/>
  <c r="AL72" i="10"/>
  <c r="AL73" i="10"/>
  <c r="AL86" i="10"/>
  <c r="AL92" i="10"/>
  <c r="AL93" i="10"/>
  <c r="AL94" i="10"/>
  <c r="AL96" i="10"/>
  <c r="AL99" i="10"/>
  <c r="AL101" i="10"/>
  <c r="AL113" i="10"/>
  <c r="AL114" i="10"/>
  <c r="AL115" i="10"/>
  <c r="AL116" i="10"/>
  <c r="AL117" i="10"/>
  <c r="AL118" i="10"/>
  <c r="AL121" i="10"/>
  <c r="AI80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24" i="10"/>
  <c r="AD19" i="10"/>
  <c r="AD20" i="10"/>
  <c r="AD21" i="10"/>
  <c r="AD22" i="10"/>
  <c r="AD29" i="10"/>
  <c r="AD18" i="10"/>
  <c r="AD25" i="10"/>
  <c r="AD26" i="10"/>
  <c r="AD31" i="10"/>
  <c r="AD30" i="10"/>
  <c r="AD28" i="10"/>
  <c r="AD27" i="10"/>
  <c r="AD32" i="10"/>
  <c r="AD33" i="10"/>
  <c r="AD38" i="10"/>
  <c r="AD48" i="10"/>
  <c r="AD35" i="10"/>
  <c r="AD37" i="10"/>
  <c r="AD34" i="10"/>
  <c r="AD39" i="10"/>
  <c r="AD40" i="10"/>
  <c r="AD23" i="10"/>
  <c r="AD41" i="10"/>
  <c r="AD42" i="10"/>
  <c r="AD43" i="10"/>
  <c r="AD44" i="10"/>
  <c r="AD45" i="10"/>
  <c r="AD46" i="10"/>
  <c r="AD36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71" i="10"/>
  <c r="AD61" i="10"/>
  <c r="AD62" i="10"/>
  <c r="AD63" i="10"/>
  <c r="AD64" i="10"/>
  <c r="AD65" i="10"/>
  <c r="AD66" i="10"/>
  <c r="AD67" i="10"/>
  <c r="AD68" i="10"/>
  <c r="AD69" i="10"/>
  <c r="AD72" i="10"/>
  <c r="AD73" i="10"/>
  <c r="AD70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D87" i="10"/>
  <c r="AD88" i="10"/>
  <c r="AD89" i="10"/>
  <c r="AD90" i="10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D105" i="10"/>
  <c r="AD106" i="10"/>
  <c r="AD107" i="10"/>
  <c r="AD108" i="10"/>
  <c r="AD109" i="10"/>
  <c r="AD110" i="10"/>
  <c r="AD111" i="10"/>
  <c r="AD112" i="10"/>
  <c r="AD113" i="10"/>
  <c r="AD114" i="10"/>
  <c r="AD115" i="10"/>
  <c r="AD116" i="10"/>
  <c r="AD117" i="10"/>
  <c r="AD118" i="10"/>
  <c r="AD119" i="10"/>
  <c r="AD120" i="10"/>
  <c r="AD121" i="10"/>
  <c r="AA6" i="10"/>
  <c r="AA7" i="10"/>
  <c r="AF7" i="10" s="1"/>
  <c r="AA8" i="10"/>
  <c r="AA9" i="10"/>
  <c r="AA10" i="10"/>
  <c r="AA11" i="10"/>
  <c r="AF11" i="10" s="1"/>
  <c r="AA12" i="10"/>
  <c r="AA13" i="10"/>
  <c r="AA14" i="10"/>
  <c r="AA15" i="10"/>
  <c r="AF15" i="10" s="1"/>
  <c r="AA16" i="10"/>
  <c r="AA17" i="10"/>
  <c r="AA24" i="10"/>
  <c r="AA19" i="10"/>
  <c r="AF19" i="10" s="1"/>
  <c r="AA20" i="10"/>
  <c r="AA21" i="10"/>
  <c r="AA22" i="10"/>
  <c r="AA29" i="10"/>
  <c r="AF29" i="10" s="1"/>
  <c r="AA18" i="10"/>
  <c r="AA25" i="10"/>
  <c r="AA26" i="10"/>
  <c r="AA31" i="10"/>
  <c r="AF31" i="10" s="1"/>
  <c r="AA30" i="10"/>
  <c r="AA28" i="10"/>
  <c r="AA27" i="10"/>
  <c r="AA32" i="10"/>
  <c r="AF32" i="10" s="1"/>
  <c r="AA33" i="10"/>
  <c r="AA38" i="10"/>
  <c r="AA48" i="10"/>
  <c r="AA35" i="10"/>
  <c r="AF35" i="10" s="1"/>
  <c r="AA37" i="10"/>
  <c r="AA34" i="10"/>
  <c r="AA39" i="10"/>
  <c r="AA40" i="10"/>
  <c r="AF40" i="10" s="1"/>
  <c r="AA23" i="10"/>
  <c r="AA41" i="10"/>
  <c r="AA42" i="10"/>
  <c r="AA43" i="10"/>
  <c r="AF43" i="10" s="1"/>
  <c r="AA44" i="10"/>
  <c r="AA45" i="10"/>
  <c r="AA46" i="10"/>
  <c r="AA36" i="10"/>
  <c r="AF36" i="10" s="1"/>
  <c r="AA49" i="10"/>
  <c r="AA50" i="10"/>
  <c r="AA51" i="10"/>
  <c r="AA52" i="10"/>
  <c r="AF52" i="10" s="1"/>
  <c r="AA53" i="10"/>
  <c r="AA54" i="10"/>
  <c r="AA55" i="10"/>
  <c r="AA56" i="10"/>
  <c r="AF56" i="10" s="1"/>
  <c r="AA57" i="10"/>
  <c r="AA58" i="10"/>
  <c r="AA59" i="10"/>
  <c r="AA60" i="10"/>
  <c r="AF60" i="10" s="1"/>
  <c r="AA71" i="10"/>
  <c r="AA61" i="10"/>
  <c r="AA62" i="10"/>
  <c r="AA63" i="10"/>
  <c r="AF63" i="10" s="1"/>
  <c r="AA64" i="10"/>
  <c r="AA65" i="10"/>
  <c r="AA66" i="10"/>
  <c r="AA67" i="10"/>
  <c r="AF67" i="10" s="1"/>
  <c r="AA68" i="10"/>
  <c r="AA69" i="10"/>
  <c r="AA72" i="10"/>
  <c r="AA73" i="10"/>
  <c r="AF73" i="10" s="1"/>
  <c r="AA70" i="10"/>
  <c r="AA75" i="10"/>
  <c r="AA76" i="10"/>
  <c r="AA77" i="10"/>
  <c r="AF77" i="10" s="1"/>
  <c r="AA78" i="10"/>
  <c r="AA79" i="10"/>
  <c r="AA80" i="10"/>
  <c r="AA81" i="10"/>
  <c r="AF81" i="10" s="1"/>
  <c r="AA82" i="10"/>
  <c r="AA83" i="10"/>
  <c r="AA84" i="10"/>
  <c r="AA85" i="10"/>
  <c r="AF85" i="10" s="1"/>
  <c r="AA86" i="10"/>
  <c r="AA87" i="10"/>
  <c r="AA88" i="10"/>
  <c r="AA89" i="10"/>
  <c r="AF89" i="10" s="1"/>
  <c r="AA90" i="10"/>
  <c r="AA91" i="10"/>
  <c r="AA92" i="10"/>
  <c r="AA93" i="10"/>
  <c r="AF93" i="10" s="1"/>
  <c r="AA94" i="10"/>
  <c r="AA95" i="10"/>
  <c r="AA96" i="10"/>
  <c r="AA97" i="10"/>
  <c r="AF97" i="10" s="1"/>
  <c r="AA98" i="10"/>
  <c r="AA99" i="10"/>
  <c r="AA100" i="10"/>
  <c r="AA101" i="10"/>
  <c r="AF101" i="10" s="1"/>
  <c r="AA102" i="10"/>
  <c r="AA103" i="10"/>
  <c r="AA104" i="10"/>
  <c r="AA105" i="10"/>
  <c r="AF105" i="10" s="1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121" i="10"/>
  <c r="AA5" i="10"/>
  <c r="AD5" i="10"/>
  <c r="AG5" i="10"/>
  <c r="AI5" i="10" s="1"/>
  <c r="AO5" i="10"/>
  <c r="AR5" i="10"/>
  <c r="AG6" i="10"/>
  <c r="AI6" i="10" s="1"/>
  <c r="AO6" i="10"/>
  <c r="AR6" i="10"/>
  <c r="AG36" i="10"/>
  <c r="AI36" i="10" s="1"/>
  <c r="AG89" i="10"/>
  <c r="AI89" i="10" s="1"/>
  <c r="C10" i="16"/>
  <c r="M10" i="16" s="1"/>
  <c r="C98" i="16"/>
  <c r="C92" i="16"/>
  <c r="C69" i="16"/>
  <c r="C65" i="16"/>
  <c r="C62" i="16"/>
  <c r="C58" i="16"/>
  <c r="A14" i="16"/>
  <c r="B14" i="16"/>
  <c r="D14" i="16"/>
  <c r="E14" i="16"/>
  <c r="F14" i="16"/>
  <c r="G14" i="16"/>
  <c r="H14" i="16"/>
  <c r="I14" i="16"/>
  <c r="A15" i="16"/>
  <c r="B15" i="16"/>
  <c r="D15" i="16"/>
  <c r="E15" i="16"/>
  <c r="F15" i="16"/>
  <c r="H15" i="16"/>
  <c r="I15" i="16"/>
  <c r="A16" i="16"/>
  <c r="B16" i="16"/>
  <c r="D16" i="16"/>
  <c r="E16" i="16"/>
  <c r="F16" i="16"/>
  <c r="G16" i="16"/>
  <c r="H16" i="16"/>
  <c r="I16" i="16"/>
  <c r="A17" i="16"/>
  <c r="B17" i="16"/>
  <c r="D17" i="16"/>
  <c r="E17" i="16"/>
  <c r="F17" i="16"/>
  <c r="G17" i="16"/>
  <c r="H17" i="16"/>
  <c r="I17" i="16"/>
  <c r="A18" i="16"/>
  <c r="B18" i="16"/>
  <c r="D18" i="16"/>
  <c r="E18" i="16"/>
  <c r="F18" i="16"/>
  <c r="G18" i="16"/>
  <c r="H18" i="16"/>
  <c r="I18" i="16"/>
  <c r="A19" i="16"/>
  <c r="B19" i="16"/>
  <c r="D19" i="16"/>
  <c r="E19" i="16"/>
  <c r="F19" i="16"/>
  <c r="G19" i="16"/>
  <c r="H19" i="16"/>
  <c r="A20" i="16"/>
  <c r="B20" i="16"/>
  <c r="D20" i="16"/>
  <c r="E20" i="16"/>
  <c r="F20" i="16"/>
  <c r="G20" i="16"/>
  <c r="H20" i="16"/>
  <c r="I20" i="16"/>
  <c r="A21" i="16"/>
  <c r="B21" i="16"/>
  <c r="D21" i="16"/>
  <c r="E21" i="16"/>
  <c r="F21" i="16"/>
  <c r="G21" i="16"/>
  <c r="H21" i="16"/>
  <c r="I21" i="16"/>
  <c r="A22" i="16"/>
  <c r="B22" i="16"/>
  <c r="D22" i="16"/>
  <c r="E22" i="16"/>
  <c r="F22" i="16"/>
  <c r="G22" i="16"/>
  <c r="H22" i="16"/>
  <c r="I22" i="16"/>
  <c r="A23" i="16"/>
  <c r="B23" i="16"/>
  <c r="D23" i="16"/>
  <c r="E23" i="16"/>
  <c r="F23" i="16"/>
  <c r="G23" i="16"/>
  <c r="H23" i="16"/>
  <c r="I23" i="16"/>
  <c r="A24" i="16"/>
  <c r="B24" i="16"/>
  <c r="D24" i="16"/>
  <c r="E24" i="16"/>
  <c r="F24" i="16"/>
  <c r="G24" i="16"/>
  <c r="H24" i="16"/>
  <c r="I24" i="16"/>
  <c r="A25" i="16"/>
  <c r="B25" i="16"/>
  <c r="D25" i="16"/>
  <c r="E25" i="16"/>
  <c r="F25" i="16"/>
  <c r="H25" i="16"/>
  <c r="I25" i="16"/>
  <c r="A26" i="16"/>
  <c r="B26" i="16"/>
  <c r="D26" i="16"/>
  <c r="E26" i="16"/>
  <c r="F26" i="16"/>
  <c r="H26" i="16"/>
  <c r="I26" i="16"/>
  <c r="A27" i="16"/>
  <c r="B27" i="16"/>
  <c r="D27" i="16"/>
  <c r="E27" i="16"/>
  <c r="F27" i="16"/>
  <c r="H27" i="16"/>
  <c r="A28" i="16"/>
  <c r="B28" i="16"/>
  <c r="D28" i="16"/>
  <c r="E28" i="16"/>
  <c r="F28" i="16"/>
  <c r="G28" i="16"/>
  <c r="H28" i="16"/>
  <c r="I28" i="16"/>
  <c r="A29" i="16"/>
  <c r="B29" i="16"/>
  <c r="D29" i="16"/>
  <c r="E29" i="16"/>
  <c r="F29" i="16"/>
  <c r="G29" i="16"/>
  <c r="H29" i="16"/>
  <c r="I29" i="16"/>
  <c r="A30" i="16"/>
  <c r="B30" i="16"/>
  <c r="D30" i="16"/>
  <c r="E30" i="16"/>
  <c r="F30" i="16"/>
  <c r="G30" i="16"/>
  <c r="H30" i="16"/>
  <c r="I30" i="16"/>
  <c r="A31" i="16"/>
  <c r="B31" i="16"/>
  <c r="D31" i="16"/>
  <c r="E31" i="16"/>
  <c r="F31" i="16"/>
  <c r="H31" i="16"/>
  <c r="I31" i="16"/>
  <c r="A32" i="16"/>
  <c r="B32" i="16"/>
  <c r="D32" i="16"/>
  <c r="E32" i="16"/>
  <c r="F32" i="16"/>
  <c r="H32" i="16"/>
  <c r="I32" i="16"/>
  <c r="A33" i="16"/>
  <c r="B33" i="16"/>
  <c r="D33" i="16"/>
  <c r="E33" i="16"/>
  <c r="F33" i="16"/>
  <c r="G33" i="16"/>
  <c r="H33" i="16"/>
  <c r="I33" i="16"/>
  <c r="A34" i="16"/>
  <c r="B34" i="16"/>
  <c r="D34" i="16"/>
  <c r="E34" i="16"/>
  <c r="F34" i="16"/>
  <c r="H34" i="16"/>
  <c r="A35" i="16"/>
  <c r="B35" i="16"/>
  <c r="D35" i="16"/>
  <c r="E35" i="16"/>
  <c r="F35" i="16"/>
  <c r="H35" i="16"/>
  <c r="I35" i="16"/>
  <c r="A36" i="16"/>
  <c r="B36" i="16"/>
  <c r="D36" i="16"/>
  <c r="E36" i="16"/>
  <c r="F36" i="16"/>
  <c r="G36" i="16"/>
  <c r="H36" i="16"/>
  <c r="I36" i="16"/>
  <c r="A37" i="16"/>
  <c r="B37" i="16"/>
  <c r="D37" i="16"/>
  <c r="E37" i="16"/>
  <c r="F37" i="16"/>
  <c r="H37" i="16"/>
  <c r="I37" i="16"/>
  <c r="A38" i="16"/>
  <c r="B38" i="16"/>
  <c r="D38" i="16"/>
  <c r="E38" i="16"/>
  <c r="F38" i="16"/>
  <c r="H38" i="16"/>
  <c r="I38" i="16"/>
  <c r="A39" i="16"/>
  <c r="B39" i="16"/>
  <c r="D39" i="16"/>
  <c r="E39" i="16"/>
  <c r="F39" i="16"/>
  <c r="H39" i="16"/>
  <c r="A40" i="16"/>
  <c r="B40" i="16"/>
  <c r="D40" i="16"/>
  <c r="E40" i="16"/>
  <c r="F40" i="16"/>
  <c r="G40" i="16"/>
  <c r="H40" i="16"/>
  <c r="I40" i="16"/>
  <c r="A41" i="16"/>
  <c r="B41" i="16"/>
  <c r="D41" i="16"/>
  <c r="E41" i="16"/>
  <c r="F41" i="16"/>
  <c r="G41" i="16"/>
  <c r="H41" i="16"/>
  <c r="I41" i="16"/>
  <c r="A42" i="16"/>
  <c r="B42" i="16"/>
  <c r="D42" i="16"/>
  <c r="E42" i="16"/>
  <c r="F42" i="16"/>
  <c r="H42" i="16"/>
  <c r="A43" i="16"/>
  <c r="B43" i="16"/>
  <c r="D43" i="16"/>
  <c r="E43" i="16"/>
  <c r="F43" i="16"/>
  <c r="H43" i="16"/>
  <c r="I43" i="16"/>
  <c r="A44" i="16"/>
  <c r="B44" i="16"/>
  <c r="D44" i="16"/>
  <c r="E44" i="16"/>
  <c r="F44" i="16"/>
  <c r="H44" i="16"/>
  <c r="A45" i="16"/>
  <c r="B45" i="16"/>
  <c r="D45" i="16"/>
  <c r="E45" i="16"/>
  <c r="F45" i="16"/>
  <c r="H45" i="16"/>
  <c r="I45" i="16"/>
  <c r="A46" i="16"/>
  <c r="B46" i="16"/>
  <c r="D46" i="16"/>
  <c r="E46" i="16"/>
  <c r="F46" i="16"/>
  <c r="G46" i="16"/>
  <c r="H46" i="16"/>
  <c r="I46" i="16"/>
  <c r="A47" i="16"/>
  <c r="B47" i="16"/>
  <c r="D47" i="16"/>
  <c r="E47" i="16"/>
  <c r="F47" i="16"/>
  <c r="H47" i="16"/>
  <c r="I47" i="16"/>
  <c r="A48" i="16"/>
  <c r="B48" i="16"/>
  <c r="D48" i="16"/>
  <c r="E48" i="16"/>
  <c r="F48" i="16"/>
  <c r="H48" i="16"/>
  <c r="I48" i="16"/>
  <c r="A49" i="16"/>
  <c r="B49" i="16"/>
  <c r="D49" i="16"/>
  <c r="E49" i="16"/>
  <c r="F49" i="16"/>
  <c r="H49" i="16"/>
  <c r="I49" i="16"/>
  <c r="A50" i="16"/>
  <c r="B50" i="16"/>
  <c r="D50" i="16"/>
  <c r="E50" i="16"/>
  <c r="F50" i="16"/>
  <c r="H50" i="16"/>
  <c r="I50" i="16"/>
  <c r="A51" i="16"/>
  <c r="B51" i="16"/>
  <c r="D51" i="16"/>
  <c r="E51" i="16"/>
  <c r="F51" i="16"/>
  <c r="H51" i="16"/>
  <c r="I51" i="16"/>
  <c r="A52" i="16"/>
  <c r="B52" i="16"/>
  <c r="D52" i="16"/>
  <c r="E52" i="16"/>
  <c r="F52" i="16"/>
  <c r="H52" i="16"/>
  <c r="I52" i="16"/>
  <c r="A53" i="16"/>
  <c r="B53" i="16"/>
  <c r="D53" i="16"/>
  <c r="E53" i="16"/>
  <c r="F53" i="16"/>
  <c r="G53" i="16"/>
  <c r="H53" i="16"/>
  <c r="I53" i="16"/>
  <c r="A54" i="16"/>
  <c r="B54" i="16"/>
  <c r="D54" i="16"/>
  <c r="E54" i="16"/>
  <c r="F54" i="16"/>
  <c r="H54" i="16"/>
  <c r="I54" i="16"/>
  <c r="A55" i="16"/>
  <c r="B55" i="16"/>
  <c r="D55" i="16"/>
  <c r="E55" i="16"/>
  <c r="F55" i="16"/>
  <c r="G55" i="16"/>
  <c r="H55" i="16"/>
  <c r="I55" i="16"/>
  <c r="A56" i="16"/>
  <c r="B56" i="16"/>
  <c r="D56" i="16"/>
  <c r="E56" i="16"/>
  <c r="F56" i="16"/>
  <c r="G56" i="16"/>
  <c r="H56" i="16"/>
  <c r="I56" i="16"/>
  <c r="A57" i="16"/>
  <c r="B57" i="16"/>
  <c r="D57" i="16"/>
  <c r="E57" i="16"/>
  <c r="F57" i="16"/>
  <c r="H57" i="16"/>
  <c r="I57" i="16"/>
  <c r="A58" i="16"/>
  <c r="B58" i="16"/>
  <c r="D58" i="16"/>
  <c r="E58" i="16"/>
  <c r="F58" i="16"/>
  <c r="G58" i="16"/>
  <c r="H58" i="16"/>
  <c r="A59" i="16"/>
  <c r="B59" i="16"/>
  <c r="D59" i="16"/>
  <c r="E59" i="16"/>
  <c r="F59" i="16"/>
  <c r="H59" i="16"/>
  <c r="I59" i="16"/>
  <c r="A60" i="16"/>
  <c r="B60" i="16"/>
  <c r="D60" i="16"/>
  <c r="E60" i="16"/>
  <c r="F60" i="16"/>
  <c r="G60" i="16"/>
  <c r="H60" i="16"/>
  <c r="I60" i="16"/>
  <c r="A61" i="16"/>
  <c r="B61" i="16"/>
  <c r="D61" i="16"/>
  <c r="E61" i="16"/>
  <c r="F61" i="16"/>
  <c r="G61" i="16"/>
  <c r="H61" i="16"/>
  <c r="I61" i="16"/>
  <c r="A62" i="16"/>
  <c r="B62" i="16"/>
  <c r="D62" i="16"/>
  <c r="E62" i="16"/>
  <c r="F62" i="16"/>
  <c r="G62" i="16"/>
  <c r="H62" i="16"/>
  <c r="I62" i="16"/>
  <c r="A63" i="16"/>
  <c r="B63" i="16"/>
  <c r="D63" i="16"/>
  <c r="E63" i="16"/>
  <c r="F63" i="16"/>
  <c r="G63" i="16"/>
  <c r="H63" i="16"/>
  <c r="I63" i="16"/>
  <c r="A64" i="16"/>
  <c r="B64" i="16"/>
  <c r="D64" i="16"/>
  <c r="E64" i="16"/>
  <c r="F64" i="16"/>
  <c r="G64" i="16"/>
  <c r="H64" i="16"/>
  <c r="I64" i="16"/>
  <c r="A65" i="16"/>
  <c r="B65" i="16"/>
  <c r="D65" i="16"/>
  <c r="E65" i="16"/>
  <c r="F65" i="16"/>
  <c r="G65" i="16"/>
  <c r="H65" i="16"/>
  <c r="I65" i="16"/>
  <c r="A66" i="16"/>
  <c r="B66" i="16"/>
  <c r="D66" i="16"/>
  <c r="E66" i="16"/>
  <c r="F66" i="16"/>
  <c r="G66" i="16"/>
  <c r="H66" i="16"/>
  <c r="I66" i="16"/>
  <c r="A67" i="16"/>
  <c r="B67" i="16"/>
  <c r="D67" i="16"/>
  <c r="E67" i="16"/>
  <c r="F67" i="16"/>
  <c r="G67" i="16"/>
  <c r="H67" i="16"/>
  <c r="I67" i="16"/>
  <c r="A68" i="16"/>
  <c r="B68" i="16"/>
  <c r="D68" i="16"/>
  <c r="E68" i="16"/>
  <c r="F68" i="16"/>
  <c r="G68" i="16"/>
  <c r="H68" i="16"/>
  <c r="I68" i="16"/>
  <c r="A69" i="16"/>
  <c r="B69" i="16"/>
  <c r="D69" i="16"/>
  <c r="E69" i="16"/>
  <c r="F69" i="16"/>
  <c r="G69" i="16"/>
  <c r="H69" i="16"/>
  <c r="I69" i="16"/>
  <c r="A70" i="16"/>
  <c r="B70" i="16"/>
  <c r="D70" i="16"/>
  <c r="E70" i="16"/>
  <c r="F70" i="16"/>
  <c r="G70" i="16"/>
  <c r="H70" i="16"/>
  <c r="I70" i="16"/>
  <c r="A71" i="16"/>
  <c r="B71" i="16"/>
  <c r="D71" i="16"/>
  <c r="E71" i="16"/>
  <c r="F71" i="16"/>
  <c r="G71" i="16"/>
  <c r="H71" i="16"/>
  <c r="I71" i="16"/>
  <c r="A72" i="16"/>
  <c r="B72" i="16"/>
  <c r="D72" i="16"/>
  <c r="E72" i="16"/>
  <c r="F72" i="16"/>
  <c r="H72" i="16"/>
  <c r="I72" i="16"/>
  <c r="A73" i="16"/>
  <c r="B73" i="16"/>
  <c r="D73" i="16"/>
  <c r="E73" i="16"/>
  <c r="F73" i="16"/>
  <c r="G73" i="16"/>
  <c r="H73" i="16"/>
  <c r="I73" i="16"/>
  <c r="A74" i="16"/>
  <c r="B74" i="16"/>
  <c r="D74" i="16"/>
  <c r="E74" i="16"/>
  <c r="F74" i="16"/>
  <c r="H74" i="16"/>
  <c r="I74" i="16"/>
  <c r="A75" i="16"/>
  <c r="B75" i="16"/>
  <c r="D75" i="16"/>
  <c r="E75" i="16"/>
  <c r="F75" i="16"/>
  <c r="H75" i="16"/>
  <c r="I75" i="16"/>
  <c r="A76" i="16"/>
  <c r="B76" i="16"/>
  <c r="D76" i="16"/>
  <c r="E76" i="16"/>
  <c r="F76" i="16"/>
  <c r="G76" i="16"/>
  <c r="H76" i="16"/>
  <c r="A77" i="16"/>
  <c r="B77" i="16"/>
  <c r="D77" i="16"/>
  <c r="E77" i="16"/>
  <c r="F77" i="16"/>
  <c r="G77" i="16"/>
  <c r="H77" i="16"/>
  <c r="I77" i="16"/>
  <c r="A78" i="16"/>
  <c r="B78" i="16"/>
  <c r="D78" i="16"/>
  <c r="E78" i="16"/>
  <c r="F78" i="16"/>
  <c r="H78" i="16"/>
  <c r="A79" i="16"/>
  <c r="B79" i="16"/>
  <c r="D79" i="16"/>
  <c r="E79" i="16"/>
  <c r="F79" i="16"/>
  <c r="G79" i="16"/>
  <c r="H79" i="16"/>
  <c r="I79" i="16"/>
  <c r="A80" i="16"/>
  <c r="B80" i="16"/>
  <c r="D80" i="16"/>
  <c r="E80" i="16"/>
  <c r="F80" i="16"/>
  <c r="G80" i="16"/>
  <c r="H80" i="16"/>
  <c r="I80" i="16"/>
  <c r="A81" i="16"/>
  <c r="B81" i="16"/>
  <c r="D81" i="16"/>
  <c r="E81" i="16"/>
  <c r="F81" i="16"/>
  <c r="G81" i="16"/>
  <c r="H81" i="16"/>
  <c r="I81" i="16"/>
  <c r="A82" i="16"/>
  <c r="B82" i="16"/>
  <c r="D82" i="16"/>
  <c r="E82" i="16"/>
  <c r="F82" i="16"/>
  <c r="G82" i="16"/>
  <c r="H82" i="16"/>
  <c r="I82" i="16"/>
  <c r="A83" i="16"/>
  <c r="B83" i="16"/>
  <c r="D83" i="16"/>
  <c r="E83" i="16"/>
  <c r="F83" i="16"/>
  <c r="G83" i="16"/>
  <c r="H83" i="16"/>
  <c r="I83" i="16"/>
  <c r="A84" i="16"/>
  <c r="B84" i="16"/>
  <c r="D84" i="16"/>
  <c r="E84" i="16"/>
  <c r="F84" i="16"/>
  <c r="G84" i="16"/>
  <c r="H84" i="16"/>
  <c r="I84" i="16"/>
  <c r="A85" i="16"/>
  <c r="B85" i="16"/>
  <c r="D85" i="16"/>
  <c r="E85" i="16"/>
  <c r="F85" i="16"/>
  <c r="G85" i="16"/>
  <c r="H85" i="16"/>
  <c r="I85" i="16"/>
  <c r="A86" i="16"/>
  <c r="B86" i="16"/>
  <c r="D86" i="16"/>
  <c r="E86" i="16"/>
  <c r="F86" i="16"/>
  <c r="H86" i="16"/>
  <c r="I86" i="16"/>
  <c r="A87" i="16"/>
  <c r="B87" i="16"/>
  <c r="D87" i="16"/>
  <c r="E87" i="16"/>
  <c r="F87" i="16"/>
  <c r="G87" i="16"/>
  <c r="H87" i="16"/>
  <c r="I87" i="16"/>
  <c r="A88" i="16"/>
  <c r="B88" i="16"/>
  <c r="D88" i="16"/>
  <c r="E88" i="16"/>
  <c r="F88" i="16"/>
  <c r="H88" i="16"/>
  <c r="I88" i="16"/>
  <c r="A89" i="16"/>
  <c r="B89" i="16"/>
  <c r="D89" i="16"/>
  <c r="E89" i="16"/>
  <c r="F89" i="16"/>
  <c r="G89" i="16"/>
  <c r="H89" i="16"/>
  <c r="I89" i="16"/>
  <c r="A90" i="16"/>
  <c r="B90" i="16"/>
  <c r="D90" i="16"/>
  <c r="E90" i="16"/>
  <c r="F90" i="16"/>
  <c r="G90" i="16"/>
  <c r="H90" i="16"/>
  <c r="I90" i="16"/>
  <c r="A91" i="16"/>
  <c r="B91" i="16"/>
  <c r="D91" i="16"/>
  <c r="E91" i="16"/>
  <c r="F91" i="16"/>
  <c r="G91" i="16"/>
  <c r="H91" i="16"/>
  <c r="I91" i="16"/>
  <c r="A92" i="16"/>
  <c r="B92" i="16"/>
  <c r="D92" i="16"/>
  <c r="E92" i="16"/>
  <c r="F92" i="16"/>
  <c r="H92" i="16"/>
  <c r="I92" i="16"/>
  <c r="A93" i="16"/>
  <c r="B93" i="16"/>
  <c r="D93" i="16"/>
  <c r="E93" i="16"/>
  <c r="F93" i="16"/>
  <c r="G93" i="16"/>
  <c r="H93" i="16"/>
  <c r="I93" i="16"/>
  <c r="A94" i="16"/>
  <c r="B94" i="16"/>
  <c r="D94" i="16"/>
  <c r="E94" i="16"/>
  <c r="F94" i="16"/>
  <c r="G94" i="16"/>
  <c r="H94" i="16"/>
  <c r="I94" i="16"/>
  <c r="A95" i="16"/>
  <c r="B95" i="16"/>
  <c r="D95" i="16"/>
  <c r="E95" i="16"/>
  <c r="F95" i="16"/>
  <c r="G95" i="16"/>
  <c r="H95" i="16"/>
  <c r="I95" i="16"/>
  <c r="A96" i="16"/>
  <c r="B96" i="16"/>
  <c r="D96" i="16"/>
  <c r="E96" i="16"/>
  <c r="F96" i="16"/>
  <c r="G96" i="16"/>
  <c r="H96" i="16"/>
  <c r="I96" i="16"/>
  <c r="A97" i="16"/>
  <c r="B97" i="16"/>
  <c r="D97" i="16"/>
  <c r="E97" i="16"/>
  <c r="F97" i="16"/>
  <c r="G97" i="16"/>
  <c r="H97" i="16"/>
  <c r="I97" i="16"/>
  <c r="A98" i="16"/>
  <c r="B98" i="16"/>
  <c r="D98" i="16"/>
  <c r="E98" i="16"/>
  <c r="F98" i="16"/>
  <c r="G98" i="16"/>
  <c r="H98" i="16"/>
  <c r="I98" i="16"/>
  <c r="A99" i="16"/>
  <c r="B99" i="16"/>
  <c r="D99" i="16"/>
  <c r="E99" i="16"/>
  <c r="F99" i="16"/>
  <c r="G99" i="16"/>
  <c r="H99" i="16"/>
  <c r="I99" i="16"/>
  <c r="A100" i="16"/>
  <c r="B100" i="16"/>
  <c r="D100" i="16"/>
  <c r="E100" i="16"/>
  <c r="F100" i="16"/>
  <c r="G100" i="16"/>
  <c r="H100" i="16"/>
  <c r="I100" i="16"/>
  <c r="A101" i="16"/>
  <c r="B101" i="16"/>
  <c r="D101" i="16"/>
  <c r="E101" i="16"/>
  <c r="F101" i="16"/>
  <c r="G101" i="16"/>
  <c r="H101" i="16"/>
  <c r="I101" i="16"/>
  <c r="A102" i="16"/>
  <c r="B102" i="16"/>
  <c r="D102" i="16"/>
  <c r="E102" i="16"/>
  <c r="F102" i="16"/>
  <c r="G102" i="16"/>
  <c r="H102" i="16"/>
  <c r="I102" i="16"/>
  <c r="A103" i="16"/>
  <c r="B103" i="16"/>
  <c r="D103" i="16"/>
  <c r="E103" i="16"/>
  <c r="F103" i="16"/>
  <c r="G103" i="16"/>
  <c r="H103" i="16"/>
  <c r="I103" i="16"/>
  <c r="A104" i="16"/>
  <c r="B104" i="16"/>
  <c r="D104" i="16"/>
  <c r="E104" i="16"/>
  <c r="F104" i="16"/>
  <c r="G104" i="16"/>
  <c r="H104" i="16"/>
  <c r="I104" i="16"/>
  <c r="A105" i="16"/>
  <c r="B105" i="16"/>
  <c r="D105" i="16"/>
  <c r="E105" i="16"/>
  <c r="F105" i="16"/>
  <c r="G105" i="16"/>
  <c r="H105" i="16"/>
  <c r="I105" i="16"/>
  <c r="A106" i="16"/>
  <c r="B106" i="16"/>
  <c r="D106" i="16"/>
  <c r="E106" i="16"/>
  <c r="F106" i="16"/>
  <c r="G106" i="16"/>
  <c r="H106" i="16"/>
  <c r="I106" i="16"/>
  <c r="A107" i="16"/>
  <c r="B107" i="16"/>
  <c r="D107" i="16"/>
  <c r="E107" i="16"/>
  <c r="F107" i="16"/>
  <c r="G107" i="16"/>
  <c r="H107" i="16"/>
  <c r="I107" i="16"/>
  <c r="A108" i="16"/>
  <c r="B108" i="16"/>
  <c r="D108" i="16"/>
  <c r="E108" i="16"/>
  <c r="F108" i="16"/>
  <c r="G108" i="16"/>
  <c r="H108" i="16"/>
  <c r="I108" i="16"/>
  <c r="A109" i="16"/>
  <c r="B109" i="16"/>
  <c r="D109" i="16"/>
  <c r="E109" i="16"/>
  <c r="F109" i="16"/>
  <c r="G109" i="16"/>
  <c r="H109" i="16"/>
  <c r="I109" i="16"/>
  <c r="A110" i="16"/>
  <c r="B110" i="16"/>
  <c r="D110" i="16"/>
  <c r="E110" i="16"/>
  <c r="F110" i="16"/>
  <c r="G110" i="16"/>
  <c r="H110" i="16"/>
  <c r="I110" i="16"/>
  <c r="A111" i="16"/>
  <c r="B111" i="16"/>
  <c r="D111" i="16"/>
  <c r="E111" i="16"/>
  <c r="F111" i="16"/>
  <c r="G111" i="16"/>
  <c r="H111" i="16"/>
  <c r="I111" i="16"/>
  <c r="A112" i="16"/>
  <c r="B112" i="16"/>
  <c r="D112" i="16"/>
  <c r="E112" i="16"/>
  <c r="F112" i="16"/>
  <c r="G112" i="16"/>
  <c r="H112" i="16"/>
  <c r="I112" i="16"/>
  <c r="A113" i="16"/>
  <c r="B113" i="16"/>
  <c r="D113" i="16"/>
  <c r="E113" i="16"/>
  <c r="F113" i="16"/>
  <c r="G113" i="16"/>
  <c r="H113" i="16"/>
  <c r="I113" i="16"/>
  <c r="A114" i="16"/>
  <c r="B114" i="16"/>
  <c r="D114" i="16"/>
  <c r="E114" i="16"/>
  <c r="F114" i="16"/>
  <c r="G114" i="16"/>
  <c r="H114" i="16"/>
  <c r="I114" i="16"/>
  <c r="A115" i="16"/>
  <c r="B115" i="16"/>
  <c r="D115" i="16"/>
  <c r="E115" i="16"/>
  <c r="F115" i="16"/>
  <c r="G115" i="16"/>
  <c r="H115" i="16"/>
  <c r="I115" i="16"/>
  <c r="A116" i="16"/>
  <c r="B116" i="16"/>
  <c r="D116" i="16"/>
  <c r="E116" i="16"/>
  <c r="F116" i="16"/>
  <c r="G116" i="16"/>
  <c r="H116" i="16"/>
  <c r="I116" i="16"/>
  <c r="A117" i="16"/>
  <c r="B117" i="16"/>
  <c r="D117" i="16"/>
  <c r="E117" i="16"/>
  <c r="F117" i="16"/>
  <c r="G117" i="16"/>
  <c r="H117" i="16"/>
  <c r="I117" i="16"/>
  <c r="A118" i="16"/>
  <c r="B118" i="16"/>
  <c r="D118" i="16"/>
  <c r="E118" i="16"/>
  <c r="F118" i="16"/>
  <c r="G118" i="16"/>
  <c r="H118" i="16"/>
  <c r="M58" i="16" l="1"/>
  <c r="M61" i="16"/>
  <c r="M64" i="16"/>
  <c r="M93" i="16"/>
  <c r="M99" i="16"/>
  <c r="M70" i="16"/>
  <c r="AF120" i="10"/>
  <c r="AF116" i="10"/>
  <c r="O83" i="10"/>
  <c r="N83" i="10"/>
  <c r="AF121" i="10"/>
  <c r="AF117" i="10"/>
  <c r="AF113" i="10"/>
  <c r="AF109" i="10"/>
  <c r="AF102" i="10"/>
  <c r="AF98" i="10"/>
  <c r="AF94" i="10"/>
  <c r="AF90" i="10"/>
  <c r="AF86" i="10"/>
  <c r="AF82" i="10"/>
  <c r="AF78" i="10"/>
  <c r="AF70" i="10"/>
  <c r="AF64" i="10"/>
  <c r="AF71" i="10"/>
  <c r="P17" i="6" s="1"/>
  <c r="AF57" i="10"/>
  <c r="AF53" i="10"/>
  <c r="AF49" i="10"/>
  <c r="AF44" i="10"/>
  <c r="AF23" i="10"/>
  <c r="AF33" i="10"/>
  <c r="AF30" i="10"/>
  <c r="AF18" i="10"/>
  <c r="AF20" i="10"/>
  <c r="AF16" i="10"/>
  <c r="AF12" i="10"/>
  <c r="AF118" i="10"/>
  <c r="AF114" i="10"/>
  <c r="AF103" i="10"/>
  <c r="AF99" i="10"/>
  <c r="AF95" i="10"/>
  <c r="AF91" i="10"/>
  <c r="AF87" i="10"/>
  <c r="AF83" i="10"/>
  <c r="AF79" i="10"/>
  <c r="AF75" i="10"/>
  <c r="AF61" i="10"/>
  <c r="AF58" i="10"/>
  <c r="AF54" i="10"/>
  <c r="AF50" i="10"/>
  <c r="AF45" i="10"/>
  <c r="AF34" i="10"/>
  <c r="AF38" i="10"/>
  <c r="AF28" i="10"/>
  <c r="AF25" i="10"/>
  <c r="AF21" i="10"/>
  <c r="AF17" i="10"/>
  <c r="AF13" i="10"/>
  <c r="AF9" i="10"/>
  <c r="AF119" i="10"/>
  <c r="AF115" i="10"/>
  <c r="AF104" i="10"/>
  <c r="AF96" i="10"/>
  <c r="AF92" i="10"/>
  <c r="AF88" i="10"/>
  <c r="AF84" i="10"/>
  <c r="AF80" i="10"/>
  <c r="AF76" i="10"/>
  <c r="AF72" i="10"/>
  <c r="AF66" i="10"/>
  <c r="AF62" i="10"/>
  <c r="AF59" i="10"/>
  <c r="AF55" i="10"/>
  <c r="AF51" i="10"/>
  <c r="AF46" i="10"/>
  <c r="AF39" i="10"/>
  <c r="AF48" i="10"/>
  <c r="AF27" i="10"/>
  <c r="AF26" i="10"/>
  <c r="AF22" i="10"/>
  <c r="AF24" i="10"/>
  <c r="AF14" i="10"/>
  <c r="AF10" i="10"/>
  <c r="AF6" i="10"/>
  <c r="AF41" i="10"/>
  <c r="AF65" i="10"/>
  <c r="AF8" i="10"/>
  <c r="AF100" i="10"/>
  <c r="AF42" i="10"/>
  <c r="AF5" i="10"/>
  <c r="AF37" i="10"/>
  <c r="AF106" i="10"/>
  <c r="AF68" i="10"/>
  <c r="AF112" i="10"/>
  <c r="AF111" i="10"/>
  <c r="AF108" i="10"/>
  <c r="AF110" i="10"/>
  <c r="AF107" i="10"/>
  <c r="AF69" i="10"/>
  <c r="V121" i="10" l="1"/>
  <c r="K18" i="10"/>
  <c r="AJ18" i="10" s="1"/>
  <c r="AL18" i="10" s="1"/>
  <c r="K20" i="10"/>
  <c r="AJ20" i="10" s="1"/>
  <c r="AL20" i="10" s="1"/>
  <c r="K24" i="10"/>
  <c r="AJ24" i="10" s="1"/>
  <c r="AL24" i="10" s="1"/>
  <c r="T18" i="10"/>
  <c r="AG18" i="10"/>
  <c r="AI18" i="10" s="1"/>
  <c r="T20" i="10"/>
  <c r="AG20" i="10"/>
  <c r="AI20" i="10" s="1"/>
  <c r="T24" i="10"/>
  <c r="AG24" i="10"/>
  <c r="AI24" i="10" s="1"/>
  <c r="T16" i="10"/>
  <c r="AG16" i="10"/>
  <c r="AI16" i="10" s="1"/>
  <c r="AS16" i="10" s="1"/>
  <c r="K28" i="10"/>
  <c r="T28" i="10"/>
  <c r="AG28" i="10"/>
  <c r="AI28" i="10" s="1"/>
  <c r="AR29" i="10"/>
  <c r="AO29" i="10"/>
  <c r="AG29" i="10"/>
  <c r="AI29" i="10" s="1"/>
  <c r="T29" i="10"/>
  <c r="K29" i="10"/>
  <c r="O29" i="10" s="1"/>
  <c r="AR48" i="10"/>
  <c r="AO48" i="10"/>
  <c r="AG48" i="10"/>
  <c r="AI48" i="10" s="1"/>
  <c r="T48" i="10"/>
  <c r="K48" i="10"/>
  <c r="AR42" i="10"/>
  <c r="AO42" i="10"/>
  <c r="AG42" i="10"/>
  <c r="AI42" i="10" s="1"/>
  <c r="T42" i="10"/>
  <c r="K42" i="10"/>
  <c r="T36" i="10"/>
  <c r="K36" i="10"/>
  <c r="AJ36" i="10" s="1"/>
  <c r="AL36" i="10" s="1"/>
  <c r="AS36" i="10" s="1"/>
  <c r="O48" i="10" l="1"/>
  <c r="N48" i="10"/>
  <c r="AJ42" i="10"/>
  <c r="AL42" i="10" s="1"/>
  <c r="AS42" i="10" s="1"/>
  <c r="O42" i="10"/>
  <c r="N42" i="10"/>
  <c r="N29" i="10"/>
  <c r="AS24" i="10"/>
  <c r="AS18" i="10"/>
  <c r="AS20" i="10"/>
  <c r="V18" i="10"/>
  <c r="V20" i="10"/>
  <c r="V16" i="10"/>
  <c r="AT16" i="10" s="1"/>
  <c r="BH16" i="10" s="1"/>
  <c r="J14" i="16" s="1"/>
  <c r="V28" i="10"/>
  <c r="V36" i="10"/>
  <c r="AT36" i="10" s="1"/>
  <c r="BH36" i="10" s="1"/>
  <c r="J46" i="16" s="1"/>
  <c r="V24" i="10"/>
  <c r="AJ28" i="10"/>
  <c r="AJ29" i="10"/>
  <c r="AJ48" i="10"/>
  <c r="V42" i="10" l="1"/>
  <c r="V48" i="10"/>
  <c r="V29" i="10"/>
  <c r="AT24" i="10"/>
  <c r="AT20" i="10"/>
  <c r="BH20" i="10" s="1"/>
  <c r="J18" i="16" s="1"/>
  <c r="AT18" i="10"/>
  <c r="AL29" i="10"/>
  <c r="AS29" i="10" s="1"/>
  <c r="AL28" i="10"/>
  <c r="AS28" i="10" s="1"/>
  <c r="AL48" i="10"/>
  <c r="AS48" i="10" s="1"/>
  <c r="AT42" i="10"/>
  <c r="BH18" i="10" l="1"/>
  <c r="J22" i="16" s="1"/>
  <c r="BH24" i="10"/>
  <c r="J16" i="16" s="1"/>
  <c r="AT28" i="10"/>
  <c r="BH28" i="10" s="1"/>
  <c r="J28" i="16" s="1"/>
  <c r="AT48" i="10"/>
  <c r="BA48" i="10" s="1"/>
  <c r="AT29" i="10"/>
  <c r="BA29" i="10" s="1"/>
  <c r="BH42" i="10"/>
  <c r="J41" i="16" s="1"/>
  <c r="BA42" i="10"/>
  <c r="K98" i="10"/>
  <c r="K88" i="10"/>
  <c r="BG120" i="10"/>
  <c r="I118" i="16" s="1"/>
  <c r="BE56" i="10"/>
  <c r="G54" i="16" s="1"/>
  <c r="BE77" i="10"/>
  <c r="G74" i="16" s="1"/>
  <c r="BH48" i="10" l="1"/>
  <c r="J33" i="16" s="1"/>
  <c r="BH29" i="10"/>
  <c r="J21" i="16" s="1"/>
  <c r="BE78" i="10"/>
  <c r="G75" i="16" s="1"/>
  <c r="T9" i="10"/>
  <c r="AJ98" i="10" l="1"/>
  <c r="AL98" i="10" s="1"/>
  <c r="AR98" i="10"/>
  <c r="AR99" i="10"/>
  <c r="AR100" i="10"/>
  <c r="AO98" i="10"/>
  <c r="AO99" i="10"/>
  <c r="AO100" i="10"/>
  <c r="BE71" i="10"/>
  <c r="G59" i="16" s="1"/>
  <c r="K54" i="10" l="1"/>
  <c r="K55" i="10"/>
  <c r="N55" i="10" s="1"/>
  <c r="K56" i="10"/>
  <c r="K57" i="10"/>
  <c r="K59" i="10"/>
  <c r="K60" i="10"/>
  <c r="K61" i="10"/>
  <c r="K62" i="10"/>
  <c r="O62" i="10" s="1"/>
  <c r="K64" i="10"/>
  <c r="K65" i="10"/>
  <c r="K66" i="10"/>
  <c r="K68" i="10"/>
  <c r="K75" i="10"/>
  <c r="K76" i="10"/>
  <c r="K77" i="10"/>
  <c r="N77" i="10" s="1"/>
  <c r="K78" i="10"/>
  <c r="K79" i="10"/>
  <c r="K80" i="10"/>
  <c r="N80" i="10" s="1"/>
  <c r="K81" i="10"/>
  <c r="K84" i="10"/>
  <c r="K85" i="10"/>
  <c r="K86" i="10"/>
  <c r="K87" i="10"/>
  <c r="K89" i="10"/>
  <c r="AJ89" i="10" s="1"/>
  <c r="AL89" i="10" s="1"/>
  <c r="K90" i="10"/>
  <c r="K91" i="10"/>
  <c r="K95" i="10"/>
  <c r="K96" i="10"/>
  <c r="K97" i="10"/>
  <c r="K99" i="10"/>
  <c r="K100" i="10"/>
  <c r="K101" i="10"/>
  <c r="K102" i="10"/>
  <c r="N97" i="10" l="1"/>
  <c r="O97" i="10"/>
  <c r="O56" i="10"/>
  <c r="AJ100" i="10"/>
  <c r="AL100" i="10" s="1"/>
  <c r="O95" i="10"/>
  <c r="AJ90" i="10"/>
  <c r="AL90" i="10" s="1"/>
  <c r="AJ70" i="10"/>
  <c r="AL70" i="10" s="1"/>
  <c r="L156" i="16"/>
  <c r="K9" i="10" l="1"/>
  <c r="BE51" i="10"/>
  <c r="G49" i="16" s="1"/>
  <c r="BE37" i="10" l="1"/>
  <c r="G35" i="16" s="1"/>
  <c r="BE30" i="10"/>
  <c r="G26" i="16" s="1"/>
  <c r="BE91" i="10"/>
  <c r="G88" i="16" s="1"/>
  <c r="BE33" i="10"/>
  <c r="G31" i="16" s="1"/>
  <c r="BE53" i="10"/>
  <c r="G51" i="16" s="1"/>
  <c r="BE59" i="10"/>
  <c r="G57" i="16" s="1"/>
  <c r="BE15" i="10"/>
  <c r="BE6" i="10"/>
  <c r="BE95" i="10"/>
  <c r="G92" i="16" s="1"/>
  <c r="BE50" i="10"/>
  <c r="G48" i="16" s="1"/>
  <c r="BE49" i="10"/>
  <c r="G47" i="16" s="1"/>
  <c r="BE39" i="10"/>
  <c r="G37" i="16" s="1"/>
  <c r="BE14" i="10"/>
  <c r="BE46" i="10"/>
  <c r="G45" i="16" s="1"/>
  <c r="BE89" i="10"/>
  <c r="G86" i="16" s="1"/>
  <c r="BE11" i="10"/>
  <c r="BE43" i="10"/>
  <c r="G42" i="16" s="1"/>
  <c r="BE45" i="10"/>
  <c r="G44" i="16" s="1"/>
  <c r="BE23" i="10"/>
  <c r="G39" i="16" s="1"/>
  <c r="BE17" i="10"/>
  <c r="G15" i="16" s="1"/>
  <c r="BE13" i="10"/>
  <c r="BE44" i="10"/>
  <c r="G43" i="16" s="1"/>
  <c r="BE40" i="10"/>
  <c r="G38" i="16" s="1"/>
  <c r="G27" i="16"/>
  <c r="BE31" i="10"/>
  <c r="G25" i="16" s="1"/>
  <c r="BE38" i="10"/>
  <c r="G32" i="16" s="1"/>
  <c r="BE54" i="10"/>
  <c r="G52" i="16" s="1"/>
  <c r="BE81" i="10"/>
  <c r="G78" i="16" s="1"/>
  <c r="BE75" i="10"/>
  <c r="G72" i="16" s="1"/>
  <c r="BE35" i="10"/>
  <c r="G34" i="16" s="1"/>
  <c r="BG43" i="10" l="1"/>
  <c r="I42" i="16" s="1"/>
  <c r="P19" i="10" l="1"/>
  <c r="D101" i="10" l="1"/>
  <c r="BB13" i="10" l="1"/>
  <c r="AG70" i="10" l="1"/>
  <c r="AI70" i="10" s="1"/>
  <c r="AS70" i="10" s="1"/>
  <c r="T70" i="10"/>
  <c r="V70" i="10" s="1"/>
  <c r="AT70" i="10" l="1"/>
  <c r="BH70" i="10" s="1"/>
  <c r="J71" i="16" s="1"/>
  <c r="BG79" i="10" l="1"/>
  <c r="I76" i="16" s="1"/>
  <c r="I78" i="16"/>
  <c r="N68" i="10" l="1"/>
  <c r="N69" i="10"/>
  <c r="N75" i="10"/>
  <c r="P75" i="10"/>
  <c r="N76" i="10"/>
  <c r="O76" i="10"/>
  <c r="O75" i="10" s="1"/>
  <c r="N78" i="10"/>
  <c r="O78" i="10"/>
  <c r="AJ79" i="10"/>
  <c r="AL79" i="10" s="1"/>
  <c r="N81" i="10"/>
  <c r="P81" i="10"/>
  <c r="P83" i="10" s="1"/>
  <c r="N87" i="10"/>
  <c r="AJ88" i="10"/>
  <c r="AL88" i="10" s="1"/>
  <c r="N89" i="10"/>
  <c r="N91" i="10"/>
  <c r="P91" i="10"/>
  <c r="N95" i="10"/>
  <c r="P95" i="10"/>
  <c r="P96" i="10"/>
  <c r="K104" i="10"/>
  <c r="K105" i="10"/>
  <c r="K106" i="10"/>
  <c r="K107" i="10"/>
  <c r="K108" i="10"/>
  <c r="K109" i="10"/>
  <c r="K110" i="10"/>
  <c r="O106" i="10" l="1"/>
  <c r="N106" i="10"/>
  <c r="AJ112" i="10"/>
  <c r="AL112" i="10" s="1"/>
  <c r="O79" i="10"/>
  <c r="O91" i="10"/>
  <c r="O81" i="10"/>
  <c r="BG35" i="10" l="1"/>
  <c r="I34" i="16" s="1"/>
  <c r="F13" i="7" l="1"/>
  <c r="P37" i="10"/>
  <c r="AJ111" i="10" l="1"/>
  <c r="AL111" i="10" s="1"/>
  <c r="AA4" i="10"/>
  <c r="AD4" i="10"/>
  <c r="I26" i="14" l="1"/>
  <c r="T100" i="10" l="1"/>
  <c r="T99" i="10"/>
  <c r="AG100" i="10"/>
  <c r="AI100" i="10" s="1"/>
  <c r="AS100" i="10" s="1"/>
  <c r="AG99" i="10"/>
  <c r="AI99" i="10" s="1"/>
  <c r="AS99" i="10" s="1"/>
  <c r="V99" i="10" l="1"/>
  <c r="V100" i="10"/>
  <c r="BG23" i="10"/>
  <c r="I39" i="16" s="1"/>
  <c r="BG60" i="10"/>
  <c r="I58" i="16" s="1"/>
  <c r="AT99" i="10" l="1"/>
  <c r="BH99" i="10" s="1"/>
  <c r="J96" i="16" s="1"/>
  <c r="AT100" i="10"/>
  <c r="BH100" i="10" s="1"/>
  <c r="J97" i="16" s="1"/>
  <c r="BA100" i="10" l="1"/>
  <c r="BA99" i="10"/>
  <c r="I28" i="14"/>
  <c r="I27" i="14"/>
  <c r="I25" i="14"/>
  <c r="I21" i="14"/>
  <c r="I17" i="14"/>
  <c r="I16" i="14"/>
  <c r="I29" i="14" l="1"/>
  <c r="B3" i="16" l="1"/>
  <c r="D3" i="16"/>
  <c r="E3" i="16"/>
  <c r="F3" i="16"/>
  <c r="H3" i="16"/>
  <c r="I3" i="16"/>
  <c r="B4" i="16"/>
  <c r="D4" i="16"/>
  <c r="E4" i="16"/>
  <c r="F4" i="16"/>
  <c r="H4" i="16"/>
  <c r="I4" i="16"/>
  <c r="B5" i="16"/>
  <c r="D5" i="16"/>
  <c r="E5" i="16"/>
  <c r="F5" i="16"/>
  <c r="G5" i="16"/>
  <c r="H5" i="16"/>
  <c r="I5" i="16"/>
  <c r="B6" i="16"/>
  <c r="D6" i="16"/>
  <c r="E6" i="16"/>
  <c r="F6" i="16"/>
  <c r="G6" i="16"/>
  <c r="H6" i="16"/>
  <c r="I6" i="16"/>
  <c r="B7" i="16"/>
  <c r="D7" i="16"/>
  <c r="E7" i="16"/>
  <c r="F7" i="16"/>
  <c r="G7" i="16"/>
  <c r="H7" i="16"/>
  <c r="I7" i="16"/>
  <c r="B8" i="16"/>
  <c r="D8" i="16"/>
  <c r="E8" i="16"/>
  <c r="F8" i="16"/>
  <c r="G8" i="16"/>
  <c r="H8" i="16"/>
  <c r="I8" i="16"/>
  <c r="B9" i="16"/>
  <c r="D9" i="16"/>
  <c r="E9" i="16"/>
  <c r="F9" i="16"/>
  <c r="H9" i="16"/>
  <c r="I9" i="16"/>
  <c r="B10" i="16"/>
  <c r="D10" i="16"/>
  <c r="E10" i="16"/>
  <c r="F10" i="16"/>
  <c r="G10" i="16"/>
  <c r="H10" i="16"/>
  <c r="I10" i="16"/>
  <c r="B11" i="16"/>
  <c r="D11" i="16"/>
  <c r="E11" i="16"/>
  <c r="F11" i="16"/>
  <c r="H11" i="16"/>
  <c r="I11" i="16"/>
  <c r="B12" i="16"/>
  <c r="D12" i="16"/>
  <c r="E12" i="16"/>
  <c r="F12" i="16"/>
  <c r="I12" i="16"/>
  <c r="B13" i="16"/>
  <c r="D13" i="16"/>
  <c r="E13" i="16"/>
  <c r="F13" i="16"/>
  <c r="H13" i="16"/>
  <c r="I13" i="16"/>
  <c r="A3" i="16"/>
  <c r="A4" i="16"/>
  <c r="A5" i="16"/>
  <c r="A6" i="16"/>
  <c r="A7" i="16"/>
  <c r="A8" i="16"/>
  <c r="A9" i="16"/>
  <c r="A10" i="16"/>
  <c r="A11" i="16"/>
  <c r="A12" i="16"/>
  <c r="A13" i="16"/>
  <c r="I2" i="16"/>
  <c r="H2" i="16"/>
  <c r="G2" i="16"/>
  <c r="F2" i="16"/>
  <c r="E2" i="16"/>
  <c r="D2" i="16"/>
  <c r="B2" i="16"/>
  <c r="A2" i="16"/>
  <c r="D119" i="16" l="1"/>
  <c r="D243" i="16"/>
  <c r="F119" i="16"/>
  <c r="E119" i="16"/>
  <c r="E243" i="16"/>
  <c r="AG7" i="10" l="1"/>
  <c r="AI7" i="10" s="1"/>
  <c r="AG8" i="10"/>
  <c r="AI8" i="10" s="1"/>
  <c r="AG9" i="10"/>
  <c r="AI9" i="10" s="1"/>
  <c r="AG10" i="10"/>
  <c r="AI10" i="10" s="1"/>
  <c r="AG11" i="10"/>
  <c r="AI11" i="10" s="1"/>
  <c r="AG12" i="10"/>
  <c r="AI12" i="10" s="1"/>
  <c r="AG13" i="10"/>
  <c r="AI13" i="10" s="1"/>
  <c r="AG14" i="10"/>
  <c r="AI14" i="10" s="1"/>
  <c r="AG15" i="10"/>
  <c r="AI15" i="10" s="1"/>
  <c r="AG17" i="10"/>
  <c r="AI17" i="10" s="1"/>
  <c r="AG19" i="10"/>
  <c r="AI19" i="10" s="1"/>
  <c r="AG21" i="10"/>
  <c r="AI21" i="10" s="1"/>
  <c r="AG22" i="10"/>
  <c r="AI22" i="10" s="1"/>
  <c r="AG25" i="10"/>
  <c r="AI25" i="10" s="1"/>
  <c r="AG26" i="10"/>
  <c r="AI26" i="10" s="1"/>
  <c r="AG31" i="10"/>
  <c r="AI31" i="10" s="1"/>
  <c r="AG30" i="10"/>
  <c r="AI30" i="10" s="1"/>
  <c r="AG27" i="10"/>
  <c r="AI27" i="10" s="1"/>
  <c r="AG32" i="10"/>
  <c r="AI32" i="10" s="1"/>
  <c r="AG33" i="10"/>
  <c r="AI33" i="10" s="1"/>
  <c r="AG38" i="10"/>
  <c r="AI38" i="10" s="1"/>
  <c r="AG35" i="10"/>
  <c r="AI35" i="10" s="1"/>
  <c r="AG37" i="10"/>
  <c r="AI37" i="10" s="1"/>
  <c r="AG34" i="10"/>
  <c r="AI34" i="10" s="1"/>
  <c r="AG39" i="10"/>
  <c r="AI39" i="10" s="1"/>
  <c r="AG40" i="10"/>
  <c r="AI40" i="10" s="1"/>
  <c r="AG23" i="10"/>
  <c r="AI23" i="10" s="1"/>
  <c r="AG41" i="10"/>
  <c r="AI41" i="10" s="1"/>
  <c r="AG43" i="10"/>
  <c r="AI43" i="10" s="1"/>
  <c r="AG44" i="10"/>
  <c r="AI44" i="10" s="1"/>
  <c r="AG45" i="10"/>
  <c r="AI45" i="10" s="1"/>
  <c r="AG46" i="10"/>
  <c r="AI46" i="10" s="1"/>
  <c r="AG49" i="10"/>
  <c r="AI49" i="10" s="1"/>
  <c r="AG50" i="10"/>
  <c r="AI50" i="10" s="1"/>
  <c r="AG51" i="10"/>
  <c r="AI51" i="10" s="1"/>
  <c r="AG52" i="10"/>
  <c r="AI52" i="10" s="1"/>
  <c r="AG53" i="10"/>
  <c r="AI53" i="10" s="1"/>
  <c r="AG54" i="10"/>
  <c r="AI54" i="10" s="1"/>
  <c r="AG55" i="10"/>
  <c r="AI55" i="10" s="1"/>
  <c r="AG56" i="10"/>
  <c r="AI56" i="10" s="1"/>
  <c r="AG57" i="10"/>
  <c r="AI57" i="10" s="1"/>
  <c r="AG58" i="10"/>
  <c r="AI58" i="10" s="1"/>
  <c r="AG59" i="10"/>
  <c r="AI59" i="10" s="1"/>
  <c r="AG60" i="10"/>
  <c r="AI60" i="10" s="1"/>
  <c r="AG71" i="10"/>
  <c r="AI71" i="10" s="1"/>
  <c r="AG61" i="10"/>
  <c r="AI61" i="10" s="1"/>
  <c r="AG62" i="10"/>
  <c r="AI62" i="10" s="1"/>
  <c r="AG63" i="10"/>
  <c r="AI63" i="10" s="1"/>
  <c r="AG64" i="10"/>
  <c r="AI64" i="10" s="1"/>
  <c r="AG65" i="10"/>
  <c r="AI65" i="10" s="1"/>
  <c r="AG66" i="10"/>
  <c r="AI66" i="10" s="1"/>
  <c r="AG67" i="10"/>
  <c r="AI67" i="10" s="1"/>
  <c r="AG68" i="10"/>
  <c r="AI68" i="10" s="1"/>
  <c r="AG69" i="10"/>
  <c r="AI69" i="10" s="1"/>
  <c r="AG72" i="10"/>
  <c r="AI72" i="10" s="1"/>
  <c r="AS72" i="10" s="1"/>
  <c r="AG73" i="10"/>
  <c r="AI73" i="10" s="1"/>
  <c r="AS73" i="10" s="1"/>
  <c r="AG75" i="10"/>
  <c r="AI75" i="10" s="1"/>
  <c r="AG76" i="10"/>
  <c r="AI76" i="10" s="1"/>
  <c r="AG77" i="10"/>
  <c r="AI77" i="10" s="1"/>
  <c r="AG78" i="10"/>
  <c r="AI78" i="10" s="1"/>
  <c r="AG79" i="10"/>
  <c r="AI79" i="10" s="1"/>
  <c r="AG81" i="10"/>
  <c r="AI81" i="10" s="1"/>
  <c r="AG82" i="10"/>
  <c r="AI82" i="10" s="1"/>
  <c r="AG83" i="10"/>
  <c r="AI83" i="10" s="1"/>
  <c r="AG84" i="10"/>
  <c r="AI84" i="10" s="1"/>
  <c r="AG85" i="10"/>
  <c r="AI85" i="10" s="1"/>
  <c r="AG86" i="10"/>
  <c r="AI86" i="10" s="1"/>
  <c r="AS86" i="10" s="1"/>
  <c r="AG87" i="10"/>
  <c r="AI87" i="10" s="1"/>
  <c r="AG88" i="10"/>
  <c r="AI88" i="10" s="1"/>
  <c r="AS88" i="10" s="1"/>
  <c r="AG90" i="10"/>
  <c r="AI90" i="10" s="1"/>
  <c r="AS90" i="10" s="1"/>
  <c r="AG91" i="10"/>
  <c r="AI91" i="10" s="1"/>
  <c r="AG92" i="10"/>
  <c r="AI92" i="10" s="1"/>
  <c r="AG93" i="10"/>
  <c r="AI93" i="10" s="1"/>
  <c r="AG94" i="10"/>
  <c r="AI94" i="10" s="1"/>
  <c r="AG95" i="10"/>
  <c r="AI95" i="10" s="1"/>
  <c r="AG96" i="10"/>
  <c r="AI96" i="10" s="1"/>
  <c r="AG97" i="10"/>
  <c r="AI97" i="10" s="1"/>
  <c r="AG98" i="10"/>
  <c r="AI98" i="10" s="1"/>
  <c r="AS98" i="10" s="1"/>
  <c r="AG101" i="10"/>
  <c r="AI101" i="10" s="1"/>
  <c r="AG102" i="10"/>
  <c r="AI102" i="10" s="1"/>
  <c r="AG103" i="10"/>
  <c r="AI103" i="10" s="1"/>
  <c r="AG104" i="10"/>
  <c r="AI104" i="10" s="1"/>
  <c r="AG105" i="10"/>
  <c r="AI105" i="10" s="1"/>
  <c r="AG106" i="10"/>
  <c r="AI106" i="10" s="1"/>
  <c r="AG107" i="10"/>
  <c r="AI107" i="10" s="1"/>
  <c r="AG108" i="10"/>
  <c r="AI108" i="10" s="1"/>
  <c r="AG109" i="10"/>
  <c r="AI109" i="10" s="1"/>
  <c r="AG110" i="10"/>
  <c r="AI110" i="10" s="1"/>
  <c r="AG111" i="10"/>
  <c r="AI111" i="10" s="1"/>
  <c r="AS111" i="10" s="1"/>
  <c r="AG112" i="10"/>
  <c r="AI112" i="10" s="1"/>
  <c r="AS112" i="10" s="1"/>
  <c r="AG113" i="10"/>
  <c r="AI113" i="10" s="1"/>
  <c r="AG114" i="10"/>
  <c r="AI114" i="10" s="1"/>
  <c r="AG115" i="10"/>
  <c r="AI115" i="10" s="1"/>
  <c r="AG116" i="10"/>
  <c r="AI116" i="10" s="1"/>
  <c r="AG117" i="10"/>
  <c r="AI117" i="10" s="1"/>
  <c r="AG118" i="10"/>
  <c r="AI118" i="10" s="1"/>
  <c r="AG119" i="10"/>
  <c r="AI119" i="10" s="1"/>
  <c r="AG120" i="10"/>
  <c r="AI120" i="10" s="1"/>
  <c r="AG121" i="10"/>
  <c r="AI121" i="10" s="1"/>
  <c r="AS121" i="10" s="1"/>
  <c r="AG4" i="10"/>
  <c r="AI4" i="10" s="1"/>
  <c r="K12" i="10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U88" i="10"/>
  <c r="U82" i="10"/>
  <c r="U78" i="10"/>
  <c r="T75" i="10"/>
  <c r="V75" i="10" s="1"/>
  <c r="T88" i="10"/>
  <c r="V88" i="10" l="1"/>
  <c r="AT88" i="10" s="1"/>
  <c r="BH88" i="10" s="1"/>
  <c r="J85" i="16" s="1"/>
  <c r="I23" i="14"/>
  <c r="I30" i="14"/>
  <c r="T91" i="10"/>
  <c r="T90" i="10"/>
  <c r="T89" i="10"/>
  <c r="T87" i="10"/>
  <c r="T85" i="10"/>
  <c r="T84" i="10"/>
  <c r="T83" i="10"/>
  <c r="T82" i="10"/>
  <c r="T81" i="10"/>
  <c r="T80" i="10"/>
  <c r="T79" i="10"/>
  <c r="T78" i="10"/>
  <c r="T77" i="10"/>
  <c r="T76" i="10"/>
  <c r="V80" i="10" l="1"/>
  <c r="V84" i="10"/>
  <c r="V90" i="10"/>
  <c r="AT90" i="10" s="1"/>
  <c r="BH90" i="10" s="1"/>
  <c r="J87" i="16" s="1"/>
  <c r="V77" i="10"/>
  <c r="V81" i="10"/>
  <c r="V85" i="10"/>
  <c r="V91" i="10"/>
  <c r="V78" i="10"/>
  <c r="V82" i="10"/>
  <c r="V87" i="10"/>
  <c r="V79" i="10"/>
  <c r="V83" i="10"/>
  <c r="V89" i="10"/>
  <c r="V76" i="10"/>
  <c r="T46" i="10" l="1"/>
  <c r="P46" i="10"/>
  <c r="K46" i="10"/>
  <c r="T45" i="10"/>
  <c r="P45" i="10"/>
  <c r="K45" i="10"/>
  <c r="T44" i="10"/>
  <c r="P44" i="10"/>
  <c r="K44" i="10"/>
  <c r="T43" i="10"/>
  <c r="P43" i="10"/>
  <c r="K43" i="10"/>
  <c r="T41" i="10"/>
  <c r="K41" i="10"/>
  <c r="T23" i="10"/>
  <c r="P23" i="10"/>
  <c r="K23" i="10"/>
  <c r="T40" i="10"/>
  <c r="P40" i="10"/>
  <c r="K40" i="10"/>
  <c r="T39" i="10"/>
  <c r="P39" i="10"/>
  <c r="K39" i="10"/>
  <c r="T34" i="10"/>
  <c r="K34" i="10"/>
  <c r="T37" i="10"/>
  <c r="K37" i="10"/>
  <c r="T35" i="10"/>
  <c r="P35" i="10"/>
  <c r="K35" i="10"/>
  <c r="T38" i="10"/>
  <c r="T33" i="10"/>
  <c r="P33" i="10"/>
  <c r="K33" i="10"/>
  <c r="T32" i="10"/>
  <c r="K32" i="10"/>
  <c r="T27" i="10"/>
  <c r="K27" i="10"/>
  <c r="T30" i="10"/>
  <c r="AJ30" i="10"/>
  <c r="AL30" i="10" s="1"/>
  <c r="T31" i="10"/>
  <c r="K31" i="10"/>
  <c r="T26" i="10"/>
  <c r="K26" i="10"/>
  <c r="T25" i="10"/>
  <c r="K25" i="10"/>
  <c r="T22" i="10"/>
  <c r="K22" i="10"/>
  <c r="T21" i="10"/>
  <c r="T19" i="10"/>
  <c r="K19" i="10"/>
  <c r="T17" i="10"/>
  <c r="P17" i="10"/>
  <c r="K17" i="10"/>
  <c r="T15" i="10"/>
  <c r="P15" i="10"/>
  <c r="AJ15" i="10"/>
  <c r="AL15" i="10" s="1"/>
  <c r="T14" i="10"/>
  <c r="P14" i="10"/>
  <c r="K14" i="10"/>
  <c r="T13" i="10"/>
  <c r="P13" i="10"/>
  <c r="K13" i="10"/>
  <c r="T12" i="10"/>
  <c r="T11" i="10"/>
  <c r="P11" i="10"/>
  <c r="K11" i="10"/>
  <c r="BE52" i="10"/>
  <c r="G50" i="16" s="1"/>
  <c r="BG45" i="10"/>
  <c r="I44" i="16" s="1"/>
  <c r="I27" i="16"/>
  <c r="BG21" i="10"/>
  <c r="I19" i="16" s="1"/>
  <c r="G13" i="16"/>
  <c r="G12" i="16"/>
  <c r="G11" i="16"/>
  <c r="G4" i="16"/>
  <c r="BE5" i="10"/>
  <c r="G3" i="16" s="1"/>
  <c r="G9" i="16"/>
  <c r="N49" i="1"/>
  <c r="O50" i="1" s="1"/>
  <c r="T112" i="10"/>
  <c r="T111" i="10"/>
  <c r="T73" i="10"/>
  <c r="V73" i="10" s="1"/>
  <c r="T86" i="10"/>
  <c r="V86" i="10" s="1"/>
  <c r="AT86" i="10" s="1"/>
  <c r="P65" i="10"/>
  <c r="P9" i="10"/>
  <c r="V9" i="10" s="1"/>
  <c r="P10" i="10"/>
  <c r="AZ14" i="10"/>
  <c r="BH86" i="10" l="1"/>
  <c r="S16" i="3"/>
  <c r="S31" i="3" s="1"/>
  <c r="D10" i="7" s="1"/>
  <c r="O31" i="10"/>
  <c r="N31" i="10"/>
  <c r="O34" i="10"/>
  <c r="N34" i="10"/>
  <c r="O32" i="10"/>
  <c r="N32" i="10"/>
  <c r="O25" i="10"/>
  <c r="N25" i="10"/>
  <c r="N26" i="10"/>
  <c r="O26" i="10"/>
  <c r="O11" i="10"/>
  <c r="AJ44" i="10"/>
  <c r="AL44" i="10" s="1"/>
  <c r="AJ19" i="10"/>
  <c r="AL19" i="10" s="1"/>
  <c r="V21" i="10"/>
  <c r="AJ27" i="10"/>
  <c r="AL27" i="10" s="1"/>
  <c r="V27" i="10"/>
  <c r="V12" i="10"/>
  <c r="V22" i="10"/>
  <c r="AJ46" i="10"/>
  <c r="AL46" i="10" s="1"/>
  <c r="V112" i="10"/>
  <c r="AT112" i="10" s="1"/>
  <c r="BH112" i="10" s="1"/>
  <c r="J110" i="16" s="1"/>
  <c r="V111" i="10"/>
  <c r="AT111" i="10" s="1"/>
  <c r="BH111" i="10" s="1"/>
  <c r="J109" i="16" s="1"/>
  <c r="P101" i="10"/>
  <c r="O19" i="10"/>
  <c r="N19" i="10"/>
  <c r="P103" i="10"/>
  <c r="O33" i="10"/>
  <c r="N39" i="10"/>
  <c r="O45" i="10"/>
  <c r="O14" i="10"/>
  <c r="O35" i="10"/>
  <c r="I15" i="14"/>
  <c r="N41" i="10"/>
  <c r="O44" i="10"/>
  <c r="O13" i="10"/>
  <c r="I20" i="14"/>
  <c r="N23" i="10"/>
  <c r="N43" i="10"/>
  <c r="O17" i="10"/>
  <c r="I119" i="16"/>
  <c r="H12" i="16"/>
  <c r="H119" i="16" s="1"/>
  <c r="G119" i="16"/>
  <c r="N15" i="10"/>
  <c r="O40" i="10"/>
  <c r="O46" i="10"/>
  <c r="O39" i="10"/>
  <c r="N40" i="10"/>
  <c r="N13" i="10"/>
  <c r="N11" i="10"/>
  <c r="N14" i="10"/>
  <c r="N33" i="10"/>
  <c r="N17" i="10"/>
  <c r="N35" i="10"/>
  <c r="O23" i="10"/>
  <c r="O43" i="10"/>
  <c r="N45" i="10"/>
  <c r="N46" i="10"/>
  <c r="N44" i="10"/>
  <c r="J83" i="16" l="1"/>
  <c r="T84" i="16"/>
  <c r="G208" i="16" s="1"/>
  <c r="F208" i="16" s="1"/>
  <c r="V35" i="10"/>
  <c r="V34" i="10"/>
  <c r="V31" i="10"/>
  <c r="V11" i="10"/>
  <c r="V32" i="10"/>
  <c r="V26" i="10"/>
  <c r="V25" i="10"/>
  <c r="V40" i="10"/>
  <c r="V17" i="10"/>
  <c r="V39" i="10"/>
  <c r="V13" i="10"/>
  <c r="P104" i="10"/>
  <c r="V14" i="10"/>
  <c r="V45" i="10"/>
  <c r="V43" i="10"/>
  <c r="V41" i="10"/>
  <c r="V19" i="10"/>
  <c r="V23" i="10"/>
  <c r="V33" i="10"/>
  <c r="V46" i="10"/>
  <c r="V37" i="10"/>
  <c r="V44" i="10"/>
  <c r="V15" i="10"/>
  <c r="V30" i="10"/>
  <c r="V38" i="10"/>
  <c r="O101" i="10"/>
  <c r="I18" i="14"/>
  <c r="I19" i="14"/>
  <c r="L175" i="10" l="1"/>
  <c r="M172" i="10"/>
  <c r="AI175" i="10"/>
  <c r="I131" i="12"/>
  <c r="T93" i="10" l="1"/>
  <c r="V93" i="10" s="1"/>
  <c r="AZ60" i="10"/>
  <c r="AZ43" i="10"/>
  <c r="AZ37" i="10"/>
  <c r="AZ12" i="10"/>
  <c r="T116" i="10" l="1"/>
  <c r="V116" i="10" l="1"/>
  <c r="AX95" i="10"/>
  <c r="AW153" i="10" l="1"/>
  <c r="AJ53" i="10" l="1"/>
  <c r="AL53" i="10" s="1"/>
  <c r="AX46" i="10" l="1"/>
  <c r="E7" i="14" l="1"/>
  <c r="F22" i="14" l="1"/>
  <c r="I22" i="14" s="1"/>
  <c r="E9" i="14"/>
  <c r="I24" i="14" l="1"/>
  <c r="AX87" i="10"/>
  <c r="AX33" i="10"/>
  <c r="AX53" i="10"/>
  <c r="AX59" i="10"/>
  <c r="AX15" i="10"/>
  <c r="AX5" i="10"/>
  <c r="AX6" i="10"/>
  <c r="AX30" i="10"/>
  <c r="AX49" i="10"/>
  <c r="AX39" i="10"/>
  <c r="AX13" i="10"/>
  <c r="AX75" i="10"/>
  <c r="AX82" i="10"/>
  <c r="AX11" i="10"/>
  <c r="AX43" i="10"/>
  <c r="AX12" i="10"/>
  <c r="AX50" i="10"/>
  <c r="AX21" i="10"/>
  <c r="AX51" i="10"/>
  <c r="AX44" i="10"/>
  <c r="AX45" i="10"/>
  <c r="AX40" i="10"/>
  <c r="AX31" i="10"/>
  <c r="AX38" i="10"/>
  <c r="AX54" i="10"/>
  <c r="AX83" i="10"/>
  <c r="AX78" i="10"/>
  <c r="AX35" i="10"/>
  <c r="I42" i="14" s="1"/>
  <c r="AX80" i="10"/>
  <c r="AX52" i="10"/>
  <c r="C180" i="12"/>
  <c r="D180" i="12"/>
  <c r="C181" i="12"/>
  <c r="D181" i="12"/>
  <c r="A58" i="12" l="1"/>
  <c r="A181" i="12" s="1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B58" i="12"/>
  <c r="B181" i="12" s="1"/>
  <c r="E58" i="12"/>
  <c r="E181" i="12" s="1"/>
  <c r="F58" i="12"/>
  <c r="G58" i="12"/>
  <c r="H58" i="12"/>
  <c r="I58" i="12"/>
  <c r="AR58" i="10"/>
  <c r="AO58" i="10"/>
  <c r="A57" i="12" l="1"/>
  <c r="A180" i="12" s="1"/>
  <c r="B57" i="12"/>
  <c r="B180" i="12" s="1"/>
  <c r="E57" i="12"/>
  <c r="E180" i="12" s="1"/>
  <c r="F57" i="12"/>
  <c r="G57" i="12"/>
  <c r="H57" i="12"/>
  <c r="I57" i="12"/>
  <c r="T94" i="10"/>
  <c r="V94" i="10" s="1"/>
  <c r="V177" i="10" l="1"/>
  <c r="V174" i="10"/>
  <c r="AV121" i="10"/>
  <c r="AU127" i="10" s="1"/>
  <c r="AZ120" i="10"/>
  <c r="A4" i="12"/>
  <c r="A128" i="12" s="1"/>
  <c r="A5" i="12"/>
  <c r="A129" i="12" s="1"/>
  <c r="A6" i="12"/>
  <c r="A130" i="12" s="1"/>
  <c r="A7" i="12"/>
  <c r="A131" i="12" s="1"/>
  <c r="A8" i="12"/>
  <c r="A132" i="12" s="1"/>
  <c r="A9" i="12"/>
  <c r="A133" i="12" s="1"/>
  <c r="A10" i="12"/>
  <c r="A134" i="12" s="1"/>
  <c r="A11" i="12"/>
  <c r="A135" i="12" s="1"/>
  <c r="A12" i="12"/>
  <c r="A136" i="12" s="1"/>
  <c r="A13" i="12"/>
  <c r="A137" i="12" s="1"/>
  <c r="A14" i="12"/>
  <c r="A138" i="12" s="1"/>
  <c r="A15" i="12"/>
  <c r="A139" i="12" s="1"/>
  <c r="A16" i="12"/>
  <c r="A140" i="12" s="1"/>
  <c r="A17" i="12"/>
  <c r="A141" i="12" s="1"/>
  <c r="A18" i="12"/>
  <c r="A142" i="12" s="1"/>
  <c r="A19" i="12"/>
  <c r="A143" i="12" s="1"/>
  <c r="A20" i="12"/>
  <c r="A144" i="12" s="1"/>
  <c r="A21" i="12"/>
  <c r="A145" i="12" s="1"/>
  <c r="A22" i="12"/>
  <c r="A146" i="12" s="1"/>
  <c r="A23" i="12"/>
  <c r="A147" i="12" s="1"/>
  <c r="A24" i="12"/>
  <c r="A148" i="12" s="1"/>
  <c r="A25" i="12"/>
  <c r="A149" i="12" s="1"/>
  <c r="A26" i="12"/>
  <c r="A150" i="12" s="1"/>
  <c r="A27" i="12"/>
  <c r="A151" i="12" s="1"/>
  <c r="A28" i="12"/>
  <c r="A29" i="12"/>
  <c r="A152" i="12" s="1"/>
  <c r="A30" i="12"/>
  <c r="A153" i="12" s="1"/>
  <c r="A31" i="12"/>
  <c r="A154" i="12" s="1"/>
  <c r="A32" i="12"/>
  <c r="A155" i="12" s="1"/>
  <c r="A33" i="12"/>
  <c r="A156" i="12" s="1"/>
  <c r="A34" i="12"/>
  <c r="A157" i="12" s="1"/>
  <c r="A35" i="12"/>
  <c r="A158" i="12" s="1"/>
  <c r="A36" i="12"/>
  <c r="A159" i="12" s="1"/>
  <c r="A37" i="12"/>
  <c r="A160" i="12" s="1"/>
  <c r="A38" i="12"/>
  <c r="A161" i="12" s="1"/>
  <c r="A39" i="12"/>
  <c r="A162" i="12" s="1"/>
  <c r="A40" i="12"/>
  <c r="A163" i="12" s="1"/>
  <c r="A41" i="12"/>
  <c r="A164" i="12" s="1"/>
  <c r="A42" i="12"/>
  <c r="A165" i="12" s="1"/>
  <c r="A43" i="12"/>
  <c r="A166" i="12" s="1"/>
  <c r="A44" i="12"/>
  <c r="A167" i="12" s="1"/>
  <c r="A45" i="12"/>
  <c r="A168" i="12" s="1"/>
  <c r="A46" i="12"/>
  <c r="A169" i="12" s="1"/>
  <c r="A47" i="12"/>
  <c r="A170" i="12" s="1"/>
  <c r="A48" i="12"/>
  <c r="A171" i="12" s="1"/>
  <c r="A49" i="12"/>
  <c r="A172" i="12" s="1"/>
  <c r="A50" i="12"/>
  <c r="A173" i="12" s="1"/>
  <c r="A51" i="12"/>
  <c r="A174" i="12" s="1"/>
  <c r="A52" i="12"/>
  <c r="A175" i="12" s="1"/>
  <c r="A53" i="12"/>
  <c r="A176" i="12" s="1"/>
  <c r="A54" i="12"/>
  <c r="A177" i="12" s="1"/>
  <c r="A55" i="12"/>
  <c r="A178" i="12" s="1"/>
  <c r="A56" i="12"/>
  <c r="A179" i="12" s="1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116" i="12"/>
  <c r="A239" i="12" s="1"/>
  <c r="T71" i="10"/>
  <c r="V71" i="10" s="1"/>
  <c r="T72" i="10"/>
  <c r="V72" i="10" s="1"/>
  <c r="T92" i="10"/>
  <c r="V92" i="10" s="1"/>
  <c r="T113" i="10"/>
  <c r="T114" i="10"/>
  <c r="T115" i="10"/>
  <c r="T117" i="10"/>
  <c r="V117" i="10" l="1"/>
  <c r="V115" i="10"/>
  <c r="V113" i="10"/>
  <c r="V114" i="10"/>
  <c r="J57" i="12"/>
  <c r="G180" i="12" s="1"/>
  <c r="F180" i="12" s="1"/>
  <c r="J58" i="12" l="1"/>
  <c r="G181" i="12" s="1"/>
  <c r="F181" i="12" s="1"/>
  <c r="AF150" i="10"/>
  <c r="AF149" i="10"/>
  <c r="AZ83" i="10" l="1"/>
  <c r="AU121" i="10" l="1"/>
  <c r="C219" i="12" l="1"/>
  <c r="C179" i="12"/>
  <c r="D179" i="12"/>
  <c r="T104" i="10" l="1"/>
  <c r="D96" i="12"/>
  <c r="D219" i="12" s="1"/>
  <c r="E96" i="12"/>
  <c r="E219" i="12" s="1"/>
  <c r="F96" i="12"/>
  <c r="G96" i="12"/>
  <c r="H96" i="12"/>
  <c r="I96" i="12"/>
  <c r="B96" i="12"/>
  <c r="B219" i="12" s="1"/>
  <c r="E56" i="12"/>
  <c r="E179" i="12" s="1"/>
  <c r="F56" i="12"/>
  <c r="G56" i="12"/>
  <c r="H56" i="12"/>
  <c r="I56" i="12"/>
  <c r="B56" i="12"/>
  <c r="B179" i="12" s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9" i="12"/>
  <c r="B182" i="12" s="1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D3" i="12"/>
  <c r="E3" i="12"/>
  <c r="F3" i="12"/>
  <c r="H3" i="12"/>
  <c r="I3" i="12"/>
  <c r="D4" i="12"/>
  <c r="E4" i="12"/>
  <c r="F4" i="12"/>
  <c r="H4" i="12"/>
  <c r="I4" i="12"/>
  <c r="D5" i="12"/>
  <c r="E5" i="12"/>
  <c r="F5" i="12"/>
  <c r="G5" i="12"/>
  <c r="H5" i="12"/>
  <c r="I5" i="12"/>
  <c r="D6" i="12"/>
  <c r="E6" i="12"/>
  <c r="F6" i="12"/>
  <c r="G6" i="12"/>
  <c r="H6" i="12"/>
  <c r="I6" i="12"/>
  <c r="D7" i="12"/>
  <c r="E7" i="12"/>
  <c r="F7" i="12"/>
  <c r="G7" i="12"/>
  <c r="H7" i="12"/>
  <c r="I7" i="12"/>
  <c r="D8" i="12"/>
  <c r="E8" i="12"/>
  <c r="F8" i="12"/>
  <c r="G8" i="12"/>
  <c r="H8" i="12"/>
  <c r="I8" i="12"/>
  <c r="D9" i="12"/>
  <c r="E9" i="12"/>
  <c r="F9" i="12"/>
  <c r="H9" i="12"/>
  <c r="I9" i="12"/>
  <c r="D10" i="12"/>
  <c r="E10" i="12"/>
  <c r="F10" i="12"/>
  <c r="H10" i="12"/>
  <c r="D11" i="12"/>
  <c r="E11" i="12"/>
  <c r="F11" i="12"/>
  <c r="H11" i="12"/>
  <c r="I11" i="12"/>
  <c r="D12" i="12"/>
  <c r="E12" i="12"/>
  <c r="F12" i="12"/>
  <c r="G12" i="12"/>
  <c r="H12" i="12"/>
  <c r="D13" i="12"/>
  <c r="E13" i="12"/>
  <c r="F13" i="12"/>
  <c r="H13" i="12"/>
  <c r="I13" i="12"/>
  <c r="D14" i="12"/>
  <c r="E14" i="12"/>
  <c r="F14" i="12"/>
  <c r="G14" i="12"/>
  <c r="H14" i="12"/>
  <c r="I14" i="12"/>
  <c r="D15" i="12"/>
  <c r="E15" i="12"/>
  <c r="F15" i="12"/>
  <c r="G15" i="12"/>
  <c r="H15" i="12"/>
  <c r="I15" i="12"/>
  <c r="D16" i="12"/>
  <c r="E16" i="12"/>
  <c r="F16" i="12"/>
  <c r="G16" i="12"/>
  <c r="H16" i="12"/>
  <c r="I16" i="12"/>
  <c r="D17" i="12"/>
  <c r="E17" i="12"/>
  <c r="F17" i="12"/>
  <c r="G17" i="12"/>
  <c r="H17" i="12"/>
  <c r="I17" i="12"/>
  <c r="D18" i="12"/>
  <c r="E18" i="12"/>
  <c r="F18" i="12"/>
  <c r="G18" i="12"/>
  <c r="H18" i="12"/>
  <c r="I18" i="12"/>
  <c r="D19" i="12"/>
  <c r="E19" i="12"/>
  <c r="F19" i="12"/>
  <c r="H19" i="12"/>
  <c r="I19" i="12"/>
  <c r="D20" i="12"/>
  <c r="E20" i="12"/>
  <c r="F20" i="12"/>
  <c r="G20" i="12"/>
  <c r="H20" i="12"/>
  <c r="I20" i="12"/>
  <c r="D21" i="12"/>
  <c r="E21" i="12"/>
  <c r="F21" i="12"/>
  <c r="I21" i="12"/>
  <c r="D22" i="12"/>
  <c r="E22" i="12"/>
  <c r="F22" i="12"/>
  <c r="G22" i="12"/>
  <c r="H22" i="12"/>
  <c r="I22" i="12"/>
  <c r="D23" i="12"/>
  <c r="E23" i="12"/>
  <c r="F23" i="12"/>
  <c r="G23" i="12"/>
  <c r="H23" i="12"/>
  <c r="I23" i="12"/>
  <c r="D24" i="12"/>
  <c r="E24" i="12"/>
  <c r="F24" i="12"/>
  <c r="G24" i="12"/>
  <c r="H24" i="12"/>
  <c r="I24" i="12"/>
  <c r="D25" i="12"/>
  <c r="E25" i="12"/>
  <c r="F25" i="12"/>
  <c r="H25" i="12"/>
  <c r="I25" i="12"/>
  <c r="D26" i="12"/>
  <c r="E26" i="12"/>
  <c r="F26" i="12"/>
  <c r="H26" i="12"/>
  <c r="I26" i="12"/>
  <c r="D27" i="12"/>
  <c r="E27" i="12"/>
  <c r="F27" i="12"/>
  <c r="H27" i="12"/>
  <c r="D28" i="12"/>
  <c r="E28" i="12"/>
  <c r="F28" i="12"/>
  <c r="G28" i="12"/>
  <c r="H28" i="12"/>
  <c r="I28" i="12"/>
  <c r="D29" i="12"/>
  <c r="E29" i="12"/>
  <c r="F29" i="12"/>
  <c r="G29" i="12"/>
  <c r="H29" i="12"/>
  <c r="I29" i="12"/>
  <c r="D30" i="12"/>
  <c r="E30" i="12"/>
  <c r="F30" i="12"/>
  <c r="G30" i="12"/>
  <c r="H30" i="12"/>
  <c r="I30" i="12"/>
  <c r="D31" i="12"/>
  <c r="E31" i="12"/>
  <c r="F31" i="12"/>
  <c r="H31" i="12"/>
  <c r="I31" i="12"/>
  <c r="D32" i="12"/>
  <c r="E32" i="12"/>
  <c r="F32" i="12"/>
  <c r="H32" i="12"/>
  <c r="I32" i="12"/>
  <c r="D33" i="12"/>
  <c r="E33" i="12"/>
  <c r="F33" i="12"/>
  <c r="H33" i="12"/>
  <c r="I33" i="12"/>
  <c r="D34" i="12"/>
  <c r="E34" i="12"/>
  <c r="F34" i="12"/>
  <c r="H34" i="12"/>
  <c r="D35" i="12"/>
  <c r="E35" i="12"/>
  <c r="F35" i="12"/>
  <c r="G35" i="12"/>
  <c r="H35" i="12"/>
  <c r="D36" i="12"/>
  <c r="E36" i="12"/>
  <c r="F36" i="12"/>
  <c r="G36" i="12"/>
  <c r="H36" i="12"/>
  <c r="I36" i="12"/>
  <c r="D37" i="12"/>
  <c r="E37" i="12"/>
  <c r="F37" i="12"/>
  <c r="G37" i="12"/>
  <c r="H37" i="12"/>
  <c r="I37" i="12"/>
  <c r="D38" i="12"/>
  <c r="E38" i="12"/>
  <c r="F38" i="12"/>
  <c r="H38" i="12"/>
  <c r="I38" i="12"/>
  <c r="D39" i="12"/>
  <c r="E39" i="12"/>
  <c r="F39" i="12"/>
  <c r="H39" i="12"/>
  <c r="I39" i="12"/>
  <c r="D40" i="12"/>
  <c r="E40" i="12"/>
  <c r="F40" i="12"/>
  <c r="G40" i="12"/>
  <c r="H40" i="12"/>
  <c r="I40" i="12"/>
  <c r="D41" i="12"/>
  <c r="E41" i="12"/>
  <c r="F41" i="12"/>
  <c r="G41" i="12"/>
  <c r="H41" i="12"/>
  <c r="I41" i="12"/>
  <c r="D42" i="12"/>
  <c r="E42" i="12"/>
  <c r="F42" i="12"/>
  <c r="H42" i="12"/>
  <c r="I42" i="12"/>
  <c r="D43" i="12"/>
  <c r="E43" i="12"/>
  <c r="F43" i="12"/>
  <c r="H43" i="12"/>
  <c r="I43" i="12"/>
  <c r="D44" i="12"/>
  <c r="E44" i="12"/>
  <c r="F44" i="12"/>
  <c r="H44" i="12"/>
  <c r="I44" i="12"/>
  <c r="D45" i="12"/>
  <c r="E45" i="12"/>
  <c r="F45" i="12"/>
  <c r="H45" i="12"/>
  <c r="D46" i="12"/>
  <c r="E46" i="12"/>
  <c r="F46" i="12"/>
  <c r="H46" i="12"/>
  <c r="I46" i="12"/>
  <c r="D47" i="12"/>
  <c r="E47" i="12"/>
  <c r="F47" i="12"/>
  <c r="H47" i="12"/>
  <c r="I47" i="12"/>
  <c r="D48" i="12"/>
  <c r="E48" i="12"/>
  <c r="F48" i="12"/>
  <c r="H48" i="12"/>
  <c r="I48" i="12"/>
  <c r="D49" i="12"/>
  <c r="E49" i="12"/>
  <c r="F49" i="12"/>
  <c r="G49" i="12"/>
  <c r="H49" i="12"/>
  <c r="I49" i="12"/>
  <c r="D50" i="12"/>
  <c r="E50" i="12"/>
  <c r="F50" i="12"/>
  <c r="H50" i="12"/>
  <c r="D51" i="12"/>
  <c r="E51" i="12"/>
  <c r="F51" i="12"/>
  <c r="H51" i="12"/>
  <c r="I51" i="12"/>
  <c r="D52" i="12"/>
  <c r="E52" i="12"/>
  <c r="F52" i="12"/>
  <c r="H52" i="12"/>
  <c r="I52" i="12"/>
  <c r="D53" i="12"/>
  <c r="E53" i="12"/>
  <c r="F53" i="12"/>
  <c r="G53" i="12"/>
  <c r="H53" i="12"/>
  <c r="I53" i="12"/>
  <c r="D54" i="12"/>
  <c r="E54" i="12"/>
  <c r="F54" i="12"/>
  <c r="G54" i="12"/>
  <c r="H54" i="12"/>
  <c r="I54" i="12"/>
  <c r="D55" i="12"/>
  <c r="E55" i="12"/>
  <c r="F55" i="12"/>
  <c r="G55" i="12"/>
  <c r="H55" i="12"/>
  <c r="I55" i="12"/>
  <c r="D59" i="12"/>
  <c r="E59" i="12"/>
  <c r="F59" i="12"/>
  <c r="H59" i="12"/>
  <c r="I59" i="12"/>
  <c r="D60" i="12"/>
  <c r="E60" i="12"/>
  <c r="F60" i="12"/>
  <c r="G60" i="12"/>
  <c r="H60" i="12"/>
  <c r="I60" i="12"/>
  <c r="D61" i="12"/>
  <c r="E61" i="12"/>
  <c r="F61" i="12"/>
  <c r="G61" i="12"/>
  <c r="H61" i="12"/>
  <c r="I61" i="12"/>
  <c r="D62" i="12"/>
  <c r="E62" i="12"/>
  <c r="F62" i="12"/>
  <c r="G62" i="12"/>
  <c r="H62" i="12"/>
  <c r="I62" i="12"/>
  <c r="D63" i="12"/>
  <c r="E63" i="12"/>
  <c r="F63" i="12"/>
  <c r="G63" i="12"/>
  <c r="H63" i="12"/>
  <c r="I63" i="12"/>
  <c r="D64" i="12"/>
  <c r="E64" i="12"/>
  <c r="F64" i="12"/>
  <c r="G64" i="12"/>
  <c r="H64" i="12"/>
  <c r="I64" i="12"/>
  <c r="D65" i="12"/>
  <c r="E65" i="12"/>
  <c r="F65" i="12"/>
  <c r="G65" i="12"/>
  <c r="H65" i="12"/>
  <c r="I65" i="12"/>
  <c r="D66" i="12"/>
  <c r="E66" i="12"/>
  <c r="F66" i="12"/>
  <c r="G66" i="12"/>
  <c r="H66" i="12"/>
  <c r="I66" i="12"/>
  <c r="D67" i="12"/>
  <c r="E67" i="12"/>
  <c r="F67" i="12"/>
  <c r="G67" i="12"/>
  <c r="H67" i="12"/>
  <c r="I67" i="12"/>
  <c r="D68" i="12"/>
  <c r="E68" i="12"/>
  <c r="F68" i="12"/>
  <c r="G68" i="12"/>
  <c r="H68" i="12"/>
  <c r="I68" i="12"/>
  <c r="D69" i="12"/>
  <c r="E69" i="12"/>
  <c r="F69" i="12"/>
  <c r="G69" i="12"/>
  <c r="H69" i="12"/>
  <c r="I69" i="12"/>
  <c r="D70" i="12"/>
  <c r="E70" i="12"/>
  <c r="F70" i="12"/>
  <c r="G70" i="12"/>
  <c r="H70" i="12"/>
  <c r="I70" i="12"/>
  <c r="D71" i="12"/>
  <c r="E71" i="12"/>
  <c r="F71" i="12"/>
  <c r="G71" i="12"/>
  <c r="H71" i="12"/>
  <c r="I71" i="12"/>
  <c r="D72" i="12"/>
  <c r="E72" i="12"/>
  <c r="F72" i="12"/>
  <c r="G72" i="12"/>
  <c r="H72" i="12"/>
  <c r="I72" i="12"/>
  <c r="D73" i="12"/>
  <c r="E73" i="12"/>
  <c r="F73" i="12"/>
  <c r="G73" i="12"/>
  <c r="H73" i="12"/>
  <c r="I73" i="12"/>
  <c r="D74" i="12"/>
  <c r="E74" i="12"/>
  <c r="F74" i="12"/>
  <c r="H74" i="12"/>
  <c r="I74" i="12"/>
  <c r="D75" i="12"/>
  <c r="E75" i="12"/>
  <c r="F75" i="12"/>
  <c r="G75" i="12"/>
  <c r="H75" i="12"/>
  <c r="I75" i="12"/>
  <c r="D76" i="12"/>
  <c r="E76" i="12"/>
  <c r="F76" i="12"/>
  <c r="G76" i="12"/>
  <c r="H76" i="12"/>
  <c r="I76" i="12"/>
  <c r="D77" i="12"/>
  <c r="E77" i="12"/>
  <c r="F77" i="12"/>
  <c r="H77" i="12"/>
  <c r="I77" i="12"/>
  <c r="D78" i="12"/>
  <c r="E78" i="12"/>
  <c r="F78" i="12"/>
  <c r="G78" i="12"/>
  <c r="H78" i="12"/>
  <c r="I78" i="12"/>
  <c r="D79" i="12"/>
  <c r="E79" i="12"/>
  <c r="F79" i="12"/>
  <c r="G79" i="12"/>
  <c r="H79" i="12"/>
  <c r="I79" i="12"/>
  <c r="D80" i="12"/>
  <c r="E80" i="12"/>
  <c r="F80" i="12"/>
  <c r="G80" i="12"/>
  <c r="H80" i="12"/>
  <c r="I80" i="12"/>
  <c r="D81" i="12"/>
  <c r="E81" i="12"/>
  <c r="F81" i="12"/>
  <c r="H81" i="12"/>
  <c r="I81" i="12"/>
  <c r="D82" i="12"/>
  <c r="E82" i="12"/>
  <c r="F82" i="12"/>
  <c r="G82" i="12"/>
  <c r="H82" i="12"/>
  <c r="D83" i="12"/>
  <c r="E83" i="12"/>
  <c r="F83" i="12"/>
  <c r="G83" i="12"/>
  <c r="H83" i="12"/>
  <c r="I83" i="12"/>
  <c r="D84" i="12"/>
  <c r="E84" i="12"/>
  <c r="F84" i="12"/>
  <c r="G84" i="12"/>
  <c r="H84" i="12"/>
  <c r="I84" i="12"/>
  <c r="D85" i="12"/>
  <c r="E85" i="12"/>
  <c r="F85" i="12"/>
  <c r="G85" i="12"/>
  <c r="H85" i="12"/>
  <c r="I85" i="12"/>
  <c r="D86" i="12"/>
  <c r="E86" i="12"/>
  <c r="F86" i="12"/>
  <c r="G86" i="12"/>
  <c r="H86" i="12"/>
  <c r="I86" i="12"/>
  <c r="D87" i="12"/>
  <c r="E87" i="12"/>
  <c r="F87" i="12"/>
  <c r="G87" i="12"/>
  <c r="H87" i="12"/>
  <c r="I87" i="12"/>
  <c r="D88" i="12"/>
  <c r="E88" i="12"/>
  <c r="F88" i="12"/>
  <c r="G88" i="12"/>
  <c r="H88" i="12"/>
  <c r="I88" i="12"/>
  <c r="D89" i="12"/>
  <c r="E89" i="12"/>
  <c r="F89" i="12"/>
  <c r="G89" i="12"/>
  <c r="H89" i="12"/>
  <c r="I89" i="12"/>
  <c r="D90" i="12"/>
  <c r="E90" i="12"/>
  <c r="F90" i="12"/>
  <c r="G90" i="12"/>
  <c r="H90" i="12"/>
  <c r="I90" i="12"/>
  <c r="D91" i="12"/>
  <c r="E91" i="12"/>
  <c r="F91" i="12"/>
  <c r="G91" i="12"/>
  <c r="H91" i="12"/>
  <c r="I91" i="12"/>
  <c r="D92" i="12"/>
  <c r="E92" i="12"/>
  <c r="F92" i="12"/>
  <c r="G92" i="12"/>
  <c r="H92" i="12"/>
  <c r="I92" i="12"/>
  <c r="D93" i="12"/>
  <c r="E93" i="12"/>
  <c r="F93" i="12"/>
  <c r="G93" i="12"/>
  <c r="H93" i="12"/>
  <c r="I93" i="12"/>
  <c r="D94" i="12"/>
  <c r="E94" i="12"/>
  <c r="F94" i="12"/>
  <c r="G94" i="12"/>
  <c r="H94" i="12"/>
  <c r="I94" i="12"/>
  <c r="D95" i="12"/>
  <c r="E95" i="12"/>
  <c r="F95" i="12"/>
  <c r="G95" i="12"/>
  <c r="H95" i="12"/>
  <c r="I95" i="12"/>
  <c r="D97" i="12"/>
  <c r="E97" i="12"/>
  <c r="F97" i="12"/>
  <c r="G97" i="12"/>
  <c r="H97" i="12"/>
  <c r="I97" i="12"/>
  <c r="D98" i="12"/>
  <c r="E98" i="12"/>
  <c r="F98" i="12"/>
  <c r="G98" i="12"/>
  <c r="H98" i="12"/>
  <c r="I98" i="12"/>
  <c r="D99" i="12"/>
  <c r="E99" i="12"/>
  <c r="F99" i="12"/>
  <c r="G99" i="12"/>
  <c r="H99" i="12"/>
  <c r="I99" i="12"/>
  <c r="D100" i="12"/>
  <c r="E100" i="12"/>
  <c r="F100" i="12"/>
  <c r="G100" i="12"/>
  <c r="H100" i="12"/>
  <c r="I100" i="12"/>
  <c r="D101" i="12"/>
  <c r="E101" i="12"/>
  <c r="F101" i="12"/>
  <c r="G101" i="12"/>
  <c r="H101" i="12"/>
  <c r="I101" i="12"/>
  <c r="D102" i="12"/>
  <c r="E102" i="12"/>
  <c r="F102" i="12"/>
  <c r="G102" i="12"/>
  <c r="H102" i="12"/>
  <c r="I102" i="12"/>
  <c r="D103" i="12"/>
  <c r="E103" i="12"/>
  <c r="F103" i="12"/>
  <c r="G103" i="12"/>
  <c r="H103" i="12"/>
  <c r="I103" i="12"/>
  <c r="D104" i="12"/>
  <c r="E104" i="12"/>
  <c r="F104" i="12"/>
  <c r="G104" i="12"/>
  <c r="H104" i="12"/>
  <c r="I104" i="12"/>
  <c r="D105" i="12"/>
  <c r="E105" i="12"/>
  <c r="F105" i="12"/>
  <c r="G105" i="12"/>
  <c r="H105" i="12"/>
  <c r="I105" i="12"/>
  <c r="D106" i="12"/>
  <c r="E106" i="12"/>
  <c r="F106" i="12"/>
  <c r="G106" i="12"/>
  <c r="H106" i="12"/>
  <c r="I106" i="12"/>
  <c r="D107" i="12"/>
  <c r="E107" i="12"/>
  <c r="F107" i="12"/>
  <c r="G107" i="12"/>
  <c r="H107" i="12"/>
  <c r="I107" i="12"/>
  <c r="D108" i="12"/>
  <c r="E108" i="12"/>
  <c r="F108" i="12"/>
  <c r="G108" i="12"/>
  <c r="H108" i="12"/>
  <c r="I108" i="12"/>
  <c r="D109" i="12"/>
  <c r="E109" i="12"/>
  <c r="F109" i="12"/>
  <c r="G109" i="12"/>
  <c r="H109" i="12"/>
  <c r="I109" i="12"/>
  <c r="D110" i="12"/>
  <c r="E110" i="12"/>
  <c r="F110" i="12"/>
  <c r="G110" i="12"/>
  <c r="H110" i="12"/>
  <c r="I110" i="12"/>
  <c r="D111" i="12"/>
  <c r="E111" i="12"/>
  <c r="F111" i="12"/>
  <c r="G111" i="12"/>
  <c r="H111" i="12"/>
  <c r="I111" i="12"/>
  <c r="D112" i="12"/>
  <c r="E112" i="12"/>
  <c r="F112" i="12"/>
  <c r="G112" i="12"/>
  <c r="H112" i="12"/>
  <c r="I112" i="12"/>
  <c r="D113" i="12"/>
  <c r="E113" i="12"/>
  <c r="F113" i="12"/>
  <c r="G113" i="12"/>
  <c r="H113" i="12"/>
  <c r="I113" i="12"/>
  <c r="D114" i="12"/>
  <c r="E114" i="12"/>
  <c r="F114" i="12"/>
  <c r="G114" i="12"/>
  <c r="H114" i="12"/>
  <c r="I114" i="12"/>
  <c r="D115" i="12"/>
  <c r="E115" i="12"/>
  <c r="F115" i="12"/>
  <c r="G115" i="12"/>
  <c r="H115" i="12"/>
  <c r="I115" i="12"/>
  <c r="D116" i="12"/>
  <c r="E116" i="12"/>
  <c r="F116" i="12"/>
  <c r="G116" i="12"/>
  <c r="H116" i="12"/>
  <c r="C30" i="12"/>
  <c r="C40" i="12"/>
  <c r="C60" i="12"/>
  <c r="C65" i="12"/>
  <c r="C68" i="12"/>
  <c r="C72" i="12"/>
  <c r="C93" i="12"/>
  <c r="C97" i="12"/>
  <c r="T98" i="10"/>
  <c r="V98" i="10" s="1"/>
  <c r="AT98" i="10" s="1"/>
  <c r="BH98" i="10" s="1"/>
  <c r="J95" i="16" s="1"/>
  <c r="T58" i="10"/>
  <c r="AA188" i="10"/>
  <c r="V58" i="10" l="1"/>
  <c r="V104" i="10"/>
  <c r="AJ58" i="10"/>
  <c r="AL58" i="10" s="1"/>
  <c r="AS58" i="10" s="1"/>
  <c r="AT58" i="10" l="1"/>
  <c r="BA98" i="10"/>
  <c r="J96" i="12" s="1"/>
  <c r="G219" i="12" s="1"/>
  <c r="F219" i="12" s="1"/>
  <c r="BH58" i="10" l="1"/>
  <c r="J56" i="16" s="1"/>
  <c r="BA58" i="10"/>
  <c r="K51" i="10"/>
  <c r="I116" i="12"/>
  <c r="J56" i="12" l="1"/>
  <c r="G179" i="12" s="1"/>
  <c r="F179" i="12" s="1"/>
  <c r="AJ51" i="10"/>
  <c r="AL51" i="10" s="1"/>
  <c r="I12" i="12"/>
  <c r="L247" i="12"/>
  <c r="AY193" i="10"/>
  <c r="AY195" i="10" s="1"/>
  <c r="N7" i="12"/>
  <c r="AW121" i="10" l="1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4" i="12"/>
  <c r="C155" i="12"/>
  <c r="C156" i="12"/>
  <c r="C157" i="12"/>
  <c r="C158" i="12"/>
  <c r="C159" i="12"/>
  <c r="C160" i="12"/>
  <c r="C161" i="12"/>
  <c r="C162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82" i="12"/>
  <c r="C184" i="12"/>
  <c r="C185" i="12"/>
  <c r="C186" i="12"/>
  <c r="C187" i="12"/>
  <c r="C189" i="12"/>
  <c r="C190" i="12"/>
  <c r="C192" i="12"/>
  <c r="C193" i="12"/>
  <c r="C194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7" i="12"/>
  <c r="C218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C220" i="12"/>
  <c r="C216" i="12"/>
  <c r="C195" i="12"/>
  <c r="C191" i="12"/>
  <c r="C188" i="12"/>
  <c r="C183" i="12"/>
  <c r="C163" i="12"/>
  <c r="C153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A3" i="12"/>
  <c r="A127" i="12" s="1"/>
  <c r="I2" i="12"/>
  <c r="H2" i="12"/>
  <c r="G2" i="12"/>
  <c r="F2" i="12"/>
  <c r="F117" i="12" s="1"/>
  <c r="E2" i="12"/>
  <c r="D2" i="12"/>
  <c r="D117" i="12" s="1"/>
  <c r="B2" i="12"/>
  <c r="B126" i="12" s="1"/>
  <c r="A2" i="12"/>
  <c r="A126" i="12" s="1"/>
  <c r="E126" i="12" l="1"/>
  <c r="E117" i="12"/>
  <c r="E240" i="12" s="1"/>
  <c r="D126" i="12"/>
  <c r="D240" i="12"/>
  <c r="Q174" i="10" l="1"/>
  <c r="AR7" i="10"/>
  <c r="AR8" i="10"/>
  <c r="AR9" i="10"/>
  <c r="AR10" i="10"/>
  <c r="AR11" i="10"/>
  <c r="AR12" i="10"/>
  <c r="AR13" i="10"/>
  <c r="AR14" i="10"/>
  <c r="AR15" i="10"/>
  <c r="AR17" i="10"/>
  <c r="AR19" i="10"/>
  <c r="AR21" i="10"/>
  <c r="AR22" i="10"/>
  <c r="AR25" i="10"/>
  <c r="AR26" i="10"/>
  <c r="AR31" i="10"/>
  <c r="AR30" i="10"/>
  <c r="AR27" i="10"/>
  <c r="AR32" i="10"/>
  <c r="AR33" i="10"/>
  <c r="AR38" i="10"/>
  <c r="AR35" i="10"/>
  <c r="AR37" i="10"/>
  <c r="AR34" i="10"/>
  <c r="AR39" i="10"/>
  <c r="AR40" i="10"/>
  <c r="AR23" i="10"/>
  <c r="AR41" i="10"/>
  <c r="AR43" i="10"/>
  <c r="AR44" i="10"/>
  <c r="AR45" i="10"/>
  <c r="AR46" i="10"/>
  <c r="AR49" i="10"/>
  <c r="AR50" i="10"/>
  <c r="AR51" i="10"/>
  <c r="AR52" i="10"/>
  <c r="AR53" i="10"/>
  <c r="AR54" i="10"/>
  <c r="AR55" i="10"/>
  <c r="AR56" i="10"/>
  <c r="AR57" i="10"/>
  <c r="AR59" i="10"/>
  <c r="AR60" i="10"/>
  <c r="AR71" i="10"/>
  <c r="AS71" i="10" s="1"/>
  <c r="AR61" i="10"/>
  <c r="AR62" i="10"/>
  <c r="AR63" i="10"/>
  <c r="AR64" i="10"/>
  <c r="AR65" i="10"/>
  <c r="AR66" i="10"/>
  <c r="AR67" i="10"/>
  <c r="AR68" i="10"/>
  <c r="AR69" i="10"/>
  <c r="AR75" i="10"/>
  <c r="AR76" i="10"/>
  <c r="AR77" i="10"/>
  <c r="AR78" i="10"/>
  <c r="AR79" i="10"/>
  <c r="AR80" i="10"/>
  <c r="AR81" i="10"/>
  <c r="AR82" i="10"/>
  <c r="AR83" i="10"/>
  <c r="AR84" i="10"/>
  <c r="AR85" i="10"/>
  <c r="AR87" i="10"/>
  <c r="AR89" i="10"/>
  <c r="AR92" i="10"/>
  <c r="AR93" i="10"/>
  <c r="AR94" i="10"/>
  <c r="AR95" i="10"/>
  <c r="AR96" i="10"/>
  <c r="AR97" i="10"/>
  <c r="AR101" i="10"/>
  <c r="AR102" i="10"/>
  <c r="AR103" i="10"/>
  <c r="AR104" i="10"/>
  <c r="AR105" i="10"/>
  <c r="AR106" i="10"/>
  <c r="AR107" i="10"/>
  <c r="AR108" i="10"/>
  <c r="AR109" i="10"/>
  <c r="AR110" i="10"/>
  <c r="AR113" i="10"/>
  <c r="AR114" i="10"/>
  <c r="AR115" i="10"/>
  <c r="AR116" i="10"/>
  <c r="AR117" i="10"/>
  <c r="AR118" i="10"/>
  <c r="AR119" i="10"/>
  <c r="AR120" i="10"/>
  <c r="AO7" i="10"/>
  <c r="AO8" i="10"/>
  <c r="AO9" i="10"/>
  <c r="AO10" i="10"/>
  <c r="AO11" i="10"/>
  <c r="AO12" i="10"/>
  <c r="AO13" i="10"/>
  <c r="AO14" i="10"/>
  <c r="AO15" i="10"/>
  <c r="AS15" i="10" s="1"/>
  <c r="AO17" i="10"/>
  <c r="AO19" i="10"/>
  <c r="AO21" i="10"/>
  <c r="AO22" i="10"/>
  <c r="AO25" i="10"/>
  <c r="AO26" i="10"/>
  <c r="AO31" i="10"/>
  <c r="AO30" i="10"/>
  <c r="AS30" i="10" s="1"/>
  <c r="AO27" i="10"/>
  <c r="AO32" i="10"/>
  <c r="AO33" i="10"/>
  <c r="AO38" i="10"/>
  <c r="AO35" i="10"/>
  <c r="AO37" i="10"/>
  <c r="AO34" i="10"/>
  <c r="AO39" i="10"/>
  <c r="AO40" i="10"/>
  <c r="AO23" i="10"/>
  <c r="AO41" i="10"/>
  <c r="AO43" i="10"/>
  <c r="AO44" i="10"/>
  <c r="AO45" i="10"/>
  <c r="AO46" i="10"/>
  <c r="AO49" i="10"/>
  <c r="AS49" i="10" s="1"/>
  <c r="AO50" i="10"/>
  <c r="AO51" i="10"/>
  <c r="AO52" i="10"/>
  <c r="AO53" i="10"/>
  <c r="AS53" i="10" s="1"/>
  <c r="AO54" i="10"/>
  <c r="AO55" i="10"/>
  <c r="AO56" i="10"/>
  <c r="AO57" i="10"/>
  <c r="AS57" i="10" s="1"/>
  <c r="AO59" i="10"/>
  <c r="AO60" i="10"/>
  <c r="AO61" i="10"/>
  <c r="AO62" i="10"/>
  <c r="AO63" i="10"/>
  <c r="AO64" i="10"/>
  <c r="AO65" i="10"/>
  <c r="AO66" i="10"/>
  <c r="AO67" i="10"/>
  <c r="AO68" i="10"/>
  <c r="AO69" i="10"/>
  <c r="AO75" i="10"/>
  <c r="AO76" i="10"/>
  <c r="AO77" i="10"/>
  <c r="AO78" i="10"/>
  <c r="AO79" i="10"/>
  <c r="AO80" i="10"/>
  <c r="AO81" i="10"/>
  <c r="AO82" i="10"/>
  <c r="AO83" i="10"/>
  <c r="AO84" i="10"/>
  <c r="AO85" i="10"/>
  <c r="AO87" i="10"/>
  <c r="AO89" i="10"/>
  <c r="AO92" i="10"/>
  <c r="AO93" i="10"/>
  <c r="AO94" i="10"/>
  <c r="AO95" i="10"/>
  <c r="AO96" i="10"/>
  <c r="AO97" i="10"/>
  <c r="AO101" i="10"/>
  <c r="AO102" i="10"/>
  <c r="AO103" i="10"/>
  <c r="AO104" i="10"/>
  <c r="AO105" i="10"/>
  <c r="AO106" i="10"/>
  <c r="AO107" i="10"/>
  <c r="AO108" i="10"/>
  <c r="AO109" i="10"/>
  <c r="AO110" i="10"/>
  <c r="AO113" i="10"/>
  <c r="AO114" i="10"/>
  <c r="AO115" i="10"/>
  <c r="AO116" i="10"/>
  <c r="AO117" i="10"/>
  <c r="AO118" i="10"/>
  <c r="AO119" i="10"/>
  <c r="AO120" i="10"/>
  <c r="AS54" i="10" l="1"/>
  <c r="AS44" i="10"/>
  <c r="AS27" i="10"/>
  <c r="AS55" i="10"/>
  <c r="AS51" i="10"/>
  <c r="AS19" i="10"/>
  <c r="AS56" i="10"/>
  <c r="AS46" i="10"/>
  <c r="AS34" i="10"/>
  <c r="AS117" i="10"/>
  <c r="AS93" i="10"/>
  <c r="AS113" i="10"/>
  <c r="AS89" i="10"/>
  <c r="AT89" i="10" s="1"/>
  <c r="BH89" i="10" s="1"/>
  <c r="J86" i="16" s="1"/>
  <c r="AS79" i="10"/>
  <c r="AS115" i="10"/>
  <c r="AS118" i="10"/>
  <c r="AS114" i="10"/>
  <c r="AS101" i="10"/>
  <c r="AS94" i="10"/>
  <c r="AT94" i="10" s="1"/>
  <c r="BH94" i="10" s="1"/>
  <c r="J91" i="16" s="1"/>
  <c r="I32" i="14"/>
  <c r="AS35" i="10"/>
  <c r="I33" i="14"/>
  <c r="AS92" i="10"/>
  <c r="AT92" i="10" s="1"/>
  <c r="BH92" i="10" s="1"/>
  <c r="J89" i="16" s="1"/>
  <c r="AS116" i="10"/>
  <c r="AS96" i="10"/>
  <c r="AT72" i="10"/>
  <c r="BH72" i="10" s="1"/>
  <c r="J69" i="16" s="1"/>
  <c r="AT115" i="10"/>
  <c r="BH115" i="10" s="1"/>
  <c r="J113" i="16" s="1"/>
  <c r="AT93" i="10"/>
  <c r="BH93" i="10" s="1"/>
  <c r="J90" i="16" s="1"/>
  <c r="AT73" i="10"/>
  <c r="BH73" i="10" s="1"/>
  <c r="J70" i="16" s="1"/>
  <c r="AR4" i="10"/>
  <c r="AO4" i="10"/>
  <c r="AZ35" i="10"/>
  <c r="I82" i="12"/>
  <c r="I50" i="12"/>
  <c r="AZ46" i="10"/>
  <c r="I45" i="12" s="1"/>
  <c r="I35" i="12"/>
  <c r="I27" i="12"/>
  <c r="I10" i="12"/>
  <c r="AJ110" i="10"/>
  <c r="AL110" i="10" s="1"/>
  <c r="AS110" i="10" s="1"/>
  <c r="H21" i="12"/>
  <c r="H117" i="12" s="1"/>
  <c r="G81" i="12"/>
  <c r="G77" i="12"/>
  <c r="G74" i="12"/>
  <c r="G59" i="12"/>
  <c r="G52" i="12"/>
  <c r="G51" i="12"/>
  <c r="G50" i="12"/>
  <c r="G48" i="12"/>
  <c r="G47" i="12"/>
  <c r="G46" i="12"/>
  <c r="G45" i="12"/>
  <c r="G44" i="12"/>
  <c r="G43" i="12"/>
  <c r="G42" i="12"/>
  <c r="G39" i="12"/>
  <c r="G38" i="12"/>
  <c r="G34" i="12"/>
  <c r="G33" i="12"/>
  <c r="G32" i="12"/>
  <c r="G31" i="12"/>
  <c r="G27" i="12"/>
  <c r="G26" i="12"/>
  <c r="G25" i="12"/>
  <c r="G21" i="12"/>
  <c r="G19" i="12"/>
  <c r="G13" i="12"/>
  <c r="G11" i="12"/>
  <c r="G10" i="12"/>
  <c r="G9" i="12"/>
  <c r="G4" i="12"/>
  <c r="G3" i="12"/>
  <c r="AT113" i="10" l="1"/>
  <c r="BH113" i="10" s="1"/>
  <c r="J111" i="16" s="1"/>
  <c r="AT117" i="10"/>
  <c r="BH117" i="10" s="1"/>
  <c r="J115" i="16" s="1"/>
  <c r="AT114" i="10"/>
  <c r="AT116" i="10"/>
  <c r="BH116" i="10" s="1"/>
  <c r="J114" i="16" s="1"/>
  <c r="AT35" i="10"/>
  <c r="AT71" i="10"/>
  <c r="AT30" i="10"/>
  <c r="AT27" i="10"/>
  <c r="AT34" i="10"/>
  <c r="AT46" i="10"/>
  <c r="AT15" i="10"/>
  <c r="I34" i="12"/>
  <c r="I117" i="12" s="1"/>
  <c r="AJ109" i="10"/>
  <c r="AL109" i="10" s="1"/>
  <c r="AS109" i="10" s="1"/>
  <c r="AF4" i="10"/>
  <c r="G117" i="12"/>
  <c r="AX121" i="10"/>
  <c r="AZ121" i="10"/>
  <c r="AY121" i="10"/>
  <c r="AT145" i="10"/>
  <c r="BH71" i="10" l="1"/>
  <c r="R17" i="6"/>
  <c r="R21" i="6" s="1"/>
  <c r="D9" i="7" s="1"/>
  <c r="BH114" i="10"/>
  <c r="S18" i="4"/>
  <c r="S23" i="4" s="1"/>
  <c r="D11" i="7" s="1"/>
  <c r="BH27" i="10"/>
  <c r="J29" i="16" s="1"/>
  <c r="BH15" i="10"/>
  <c r="BH46" i="10"/>
  <c r="J45" i="16" s="1"/>
  <c r="BH34" i="10"/>
  <c r="J36" i="16" s="1"/>
  <c r="BH30" i="10"/>
  <c r="J26" i="16" s="1"/>
  <c r="BH35" i="10"/>
  <c r="J34" i="16" s="1"/>
  <c r="I121" i="12"/>
  <c r="I242" i="12" s="1"/>
  <c r="AW124" i="10"/>
  <c r="S156" i="10"/>
  <c r="U156" i="10" s="1"/>
  <c r="S157" i="10"/>
  <c r="U157" i="10" s="1"/>
  <c r="S158" i="10"/>
  <c r="U158" i="10" s="1"/>
  <c r="S159" i="10"/>
  <c r="U159" i="10" s="1"/>
  <c r="S160" i="10"/>
  <c r="U160" i="10" s="1"/>
  <c r="S155" i="10"/>
  <c r="U155" i="10" s="1"/>
  <c r="Q152" i="10"/>
  <c r="O145" i="10"/>
  <c r="Q142" i="10"/>
  <c r="J59" i="16" l="1"/>
  <c r="T69" i="16"/>
  <c r="G193" i="16" s="1"/>
  <c r="F193" i="16" s="1"/>
  <c r="J112" i="16"/>
  <c r="T112" i="16"/>
  <c r="G236" i="16" s="1"/>
  <c r="F236" i="16" s="1"/>
  <c r="U161" i="10"/>
  <c r="AJ87" i="10" l="1"/>
  <c r="I52" i="1"/>
  <c r="AL87" i="10" l="1"/>
  <c r="AS87" i="10" s="1"/>
  <c r="AT87" i="10" s="1"/>
  <c r="BH87" i="10" s="1"/>
  <c r="J84" i="16" s="1"/>
  <c r="AJ62" i="10" l="1"/>
  <c r="K10" i="10"/>
  <c r="AL62" i="10" l="1"/>
  <c r="AS62" i="10" s="1"/>
  <c r="AJ10" i="10"/>
  <c r="N10" i="10"/>
  <c r="O10" i="10"/>
  <c r="AJ84" i="10"/>
  <c r="AJ77" i="10"/>
  <c r="AL84" i="10" l="1"/>
  <c r="AS84" i="10" s="1"/>
  <c r="AT84" i="10" s="1"/>
  <c r="BH84" i="10" s="1"/>
  <c r="J81" i="16" s="1"/>
  <c r="AL77" i="10"/>
  <c r="AS77" i="10" s="1"/>
  <c r="AL10" i="10"/>
  <c r="AS10" i="10" s="1"/>
  <c r="AJ97" i="10"/>
  <c r="K4" i="10"/>
  <c r="O4" i="10" s="1"/>
  <c r="AJ69" i="10"/>
  <c r="K120" i="10"/>
  <c r="K119" i="10"/>
  <c r="AT77" i="10" l="1"/>
  <c r="BH77" i="10" s="1"/>
  <c r="J74" i="16" s="1"/>
  <c r="AL97" i="10"/>
  <c r="AS97" i="10" s="1"/>
  <c r="AL69" i="10"/>
  <c r="AS69" i="10" s="1"/>
  <c r="AJ4" i="10"/>
  <c r="AL4" i="10" s="1"/>
  <c r="AS4" i="10" s="1"/>
  <c r="N5" i="1" s="1"/>
  <c r="AJ119" i="10"/>
  <c r="AL119" i="10" s="1"/>
  <c r="AS119" i="10" s="1"/>
  <c r="AJ120" i="10"/>
  <c r="AJ9" i="10"/>
  <c r="AL9" i="10" s="1"/>
  <c r="AS9" i="10" s="1"/>
  <c r="AJ106" i="10"/>
  <c r="AL106" i="10" s="1"/>
  <c r="AS106" i="10" s="1"/>
  <c r="AJ17" i="10"/>
  <c r="AL17" i="10" s="1"/>
  <c r="AS17" i="10" s="1"/>
  <c r="AJ25" i="10"/>
  <c r="AL25" i="10" s="1"/>
  <c r="AS25" i="10" s="1"/>
  <c r="AJ104" i="10"/>
  <c r="AJ31" i="10"/>
  <c r="AL31" i="10" s="1"/>
  <c r="AS31" i="10" s="1"/>
  <c r="AJ68" i="10"/>
  <c r="AJ107" i="10"/>
  <c r="AL107" i="10" s="1"/>
  <c r="AS107" i="10" s="1"/>
  <c r="AJ103" i="10"/>
  <c r="AL103" i="10" s="1"/>
  <c r="AS103" i="10" s="1"/>
  <c r="AJ26" i="10"/>
  <c r="AL26" i="10" s="1"/>
  <c r="AS26" i="10" s="1"/>
  <c r="AJ22" i="10"/>
  <c r="AL22" i="10" s="1"/>
  <c r="AS22" i="10" s="1"/>
  <c r="AJ65" i="10"/>
  <c r="AJ85" i="10"/>
  <c r="AJ102" i="10"/>
  <c r="AL102" i="10" s="1"/>
  <c r="AS102" i="10" s="1"/>
  <c r="AJ108" i="10"/>
  <c r="AL108" i="10" s="1"/>
  <c r="AS108" i="10" s="1"/>
  <c r="AJ105" i="10"/>
  <c r="AL105" i="10" s="1"/>
  <c r="AS105" i="10" s="1"/>
  <c r="AJ32" i="10"/>
  <c r="AL32" i="10" s="1"/>
  <c r="AS32" i="10" s="1"/>
  <c r="AJ83" i="10"/>
  <c r="N120" i="10"/>
  <c r="O120" i="10"/>
  <c r="Q114" i="5"/>
  <c r="N5" i="10"/>
  <c r="G6" i="1" s="1"/>
  <c r="F6" i="1"/>
  <c r="H6" i="1"/>
  <c r="K6" i="1"/>
  <c r="M6" i="1"/>
  <c r="F7" i="1"/>
  <c r="K7" i="1"/>
  <c r="M7" i="1"/>
  <c r="F8" i="1"/>
  <c r="K8" i="1"/>
  <c r="M8" i="1"/>
  <c r="F9" i="1"/>
  <c r="K9" i="1"/>
  <c r="M9" i="1"/>
  <c r="F10" i="1"/>
  <c r="G10" i="1"/>
  <c r="H10" i="1"/>
  <c r="I10" i="1"/>
  <c r="K10" i="1"/>
  <c r="M10" i="1"/>
  <c r="F11" i="1"/>
  <c r="G11" i="1"/>
  <c r="H11" i="1"/>
  <c r="I11" i="1"/>
  <c r="K11" i="1"/>
  <c r="M11" i="1"/>
  <c r="N11" i="1"/>
  <c r="E6" i="1"/>
  <c r="E7" i="1"/>
  <c r="E8" i="1"/>
  <c r="E9" i="1"/>
  <c r="E10" i="1"/>
  <c r="E11" i="1"/>
  <c r="M5" i="1"/>
  <c r="K5" i="1"/>
  <c r="F5" i="1"/>
  <c r="E5" i="1"/>
  <c r="B6" i="1"/>
  <c r="B7" i="1"/>
  <c r="B8" i="1"/>
  <c r="B9" i="1"/>
  <c r="B10" i="1"/>
  <c r="B11" i="1"/>
  <c r="B5" i="1"/>
  <c r="A6" i="1"/>
  <c r="A7" i="1"/>
  <c r="A8" i="1"/>
  <c r="A9" i="1"/>
  <c r="A10" i="1"/>
  <c r="A11" i="1"/>
  <c r="A5" i="1"/>
  <c r="P55" i="10"/>
  <c r="P56" i="10"/>
  <c r="P57" i="10"/>
  <c r="T57" i="10"/>
  <c r="T56" i="10"/>
  <c r="T55" i="10"/>
  <c r="T54" i="10"/>
  <c r="P54" i="10"/>
  <c r="T53" i="10"/>
  <c r="P53" i="10"/>
  <c r="T52" i="10"/>
  <c r="P52" i="10"/>
  <c r="K52" i="10"/>
  <c r="T51" i="10"/>
  <c r="P51" i="10"/>
  <c r="T50" i="10"/>
  <c r="P50" i="10"/>
  <c r="K50" i="10"/>
  <c r="O50" i="10" s="1"/>
  <c r="T49" i="10"/>
  <c r="P49" i="10"/>
  <c r="N49" i="10"/>
  <c r="T120" i="10"/>
  <c r="T119" i="10"/>
  <c r="T118" i="10"/>
  <c r="T109" i="10"/>
  <c r="T110" i="10"/>
  <c r="T108" i="10"/>
  <c r="T105" i="10"/>
  <c r="T107" i="10"/>
  <c r="T106" i="10"/>
  <c r="T103" i="10"/>
  <c r="T102" i="10"/>
  <c r="T101" i="10"/>
  <c r="T97" i="10"/>
  <c r="V97" i="10" s="1"/>
  <c r="T96" i="10"/>
  <c r="T95" i="10"/>
  <c r="AT97" i="10" l="1"/>
  <c r="BH97" i="10" s="1"/>
  <c r="J94" i="16" s="1"/>
  <c r="V49" i="10"/>
  <c r="AT49" i="10" s="1"/>
  <c r="V55" i="10"/>
  <c r="AT55" i="10" s="1"/>
  <c r="AL120" i="10"/>
  <c r="AS120" i="10" s="1"/>
  <c r="V95" i="10"/>
  <c r="AL65" i="10"/>
  <c r="AS65" i="10" s="1"/>
  <c r="AL68" i="10"/>
  <c r="AS68" i="10" s="1"/>
  <c r="V53" i="10"/>
  <c r="AT53" i="10" s="1"/>
  <c r="AL104" i="10"/>
  <c r="AS104" i="10" s="1"/>
  <c r="V96" i="10"/>
  <c r="AT96" i="10" s="1"/>
  <c r="BH96" i="10" s="1"/>
  <c r="J93" i="16" s="1"/>
  <c r="V57" i="10"/>
  <c r="AT57" i="10" s="1"/>
  <c r="AL85" i="10"/>
  <c r="AS85" i="10" s="1"/>
  <c r="AT85" i="10" s="1"/>
  <c r="BH85" i="10" s="1"/>
  <c r="J82" i="16" s="1"/>
  <c r="J106" i="16"/>
  <c r="V110" i="10"/>
  <c r="AT110" i="10" s="1"/>
  <c r="BH110" i="10" s="1"/>
  <c r="J108" i="16" s="1"/>
  <c r="V109" i="10"/>
  <c r="AT109" i="10" s="1"/>
  <c r="BH109" i="10" s="1"/>
  <c r="J107" i="16" s="1"/>
  <c r="AL83" i="10"/>
  <c r="AS83" i="10" s="1"/>
  <c r="AT83" i="10" s="1"/>
  <c r="BH83" i="10" s="1"/>
  <c r="J80" i="16" s="1"/>
  <c r="V105" i="10"/>
  <c r="AT105" i="10" s="1"/>
  <c r="BH105" i="10" s="1"/>
  <c r="J102" i="16" s="1"/>
  <c r="V108" i="10"/>
  <c r="AT108" i="10" s="1"/>
  <c r="BH108" i="10" s="1"/>
  <c r="J105" i="16" s="1"/>
  <c r="V106" i="10"/>
  <c r="AT106" i="10" s="1"/>
  <c r="BH106" i="10" s="1"/>
  <c r="J103" i="16" s="1"/>
  <c r="V102" i="10"/>
  <c r="AT102" i="10" s="1"/>
  <c r="BH102" i="10" s="1"/>
  <c r="J99" i="16" s="1"/>
  <c r="V107" i="10"/>
  <c r="AT107" i="10" s="1"/>
  <c r="BH107" i="10" s="1"/>
  <c r="J104" i="16" s="1"/>
  <c r="AT19" i="10"/>
  <c r="AT26" i="10"/>
  <c r="AT25" i="10"/>
  <c r="AT22" i="10"/>
  <c r="AT32" i="10"/>
  <c r="AT31" i="10"/>
  <c r="AT17" i="10"/>
  <c r="AJ81" i="10"/>
  <c r="AJ52" i="10"/>
  <c r="AL52" i="10" s="1"/>
  <c r="AS52" i="10" s="1"/>
  <c r="N50" i="10"/>
  <c r="AJ50" i="10"/>
  <c r="AL50" i="10" s="1"/>
  <c r="AS50" i="10" s="1"/>
  <c r="AJ80" i="10"/>
  <c r="AJ82" i="10"/>
  <c r="AJ95" i="10"/>
  <c r="O54" i="10"/>
  <c r="O52" i="10"/>
  <c r="O51" i="10"/>
  <c r="N54" i="10"/>
  <c r="N56" i="10"/>
  <c r="N51" i="10"/>
  <c r="N52" i="10"/>
  <c r="AT104" i="10" l="1"/>
  <c r="BH104" i="10" s="1"/>
  <c r="J101" i="16" s="1"/>
  <c r="V51" i="10"/>
  <c r="AT51" i="10" s="1"/>
  <c r="BH49" i="10"/>
  <c r="J47" i="16" s="1"/>
  <c r="BH55" i="10"/>
  <c r="J53" i="16" s="1"/>
  <c r="V56" i="10"/>
  <c r="AT56" i="10" s="1"/>
  <c r="AL95" i="10"/>
  <c r="AS95" i="10" s="1"/>
  <c r="AT95" i="10" s="1"/>
  <c r="BH95" i="10" s="1"/>
  <c r="J92" i="16" s="1"/>
  <c r="BH53" i="10"/>
  <c r="J51" i="16" s="1"/>
  <c r="V54" i="10"/>
  <c r="AT54" i="10" s="1"/>
  <c r="AL80" i="10"/>
  <c r="AS80" i="10" s="1"/>
  <c r="AL81" i="10"/>
  <c r="AS81" i="10" s="1"/>
  <c r="AT81" i="10" s="1"/>
  <c r="BH81" i="10" s="1"/>
  <c r="J78" i="16" s="1"/>
  <c r="BH57" i="10"/>
  <c r="J55" i="16" s="1"/>
  <c r="V52" i="10"/>
  <c r="AT52" i="10" s="1"/>
  <c r="V50" i="10"/>
  <c r="AT50" i="10" s="1"/>
  <c r="AL82" i="10"/>
  <c r="AS82" i="10" s="1"/>
  <c r="AT82" i="10" s="1"/>
  <c r="BH82" i="10" s="1"/>
  <c r="J79" i="16" s="1"/>
  <c r="N10" i="1"/>
  <c r="AT9" i="10"/>
  <c r="BH9" i="10" s="1"/>
  <c r="BH17" i="10"/>
  <c r="J15" i="16" s="1"/>
  <c r="BH32" i="10"/>
  <c r="J30" i="16" s="1"/>
  <c r="BH25" i="10"/>
  <c r="J23" i="16" s="1"/>
  <c r="BH19" i="10"/>
  <c r="J17" i="16" s="1"/>
  <c r="BH31" i="10"/>
  <c r="J25" i="16" s="1"/>
  <c r="BH22" i="10"/>
  <c r="J20" i="16" s="1"/>
  <c r="BH26" i="10"/>
  <c r="J24" i="16" s="1"/>
  <c r="BA117" i="10"/>
  <c r="BA49" i="10"/>
  <c r="BA114" i="10"/>
  <c r="BA32" i="10"/>
  <c r="BA55" i="10"/>
  <c r="BA113" i="10"/>
  <c r="BA92" i="10"/>
  <c r="AT80" i="10" l="1"/>
  <c r="BH80" i="10" s="1"/>
  <c r="BH54" i="10"/>
  <c r="J52" i="16" s="1"/>
  <c r="BH51" i="10"/>
  <c r="J49" i="16" s="1"/>
  <c r="BH56" i="10"/>
  <c r="J54" i="16" s="1"/>
  <c r="BH52" i="10"/>
  <c r="J50" i="16" s="1"/>
  <c r="BH50" i="10"/>
  <c r="J48" i="16" s="1"/>
  <c r="J90" i="12"/>
  <c r="G213" i="12" s="1"/>
  <c r="F213" i="12" s="1"/>
  <c r="J53" i="12"/>
  <c r="G176" i="12" s="1"/>
  <c r="F176" i="12" s="1"/>
  <c r="J110" i="12"/>
  <c r="G233" i="12" s="1"/>
  <c r="J109" i="12"/>
  <c r="G232" i="12" s="1"/>
  <c r="J30" i="12"/>
  <c r="G153" i="12" s="1"/>
  <c r="F153" i="12" s="1"/>
  <c r="J47" i="12"/>
  <c r="G170" i="12" s="1"/>
  <c r="F170" i="12" s="1"/>
  <c r="J113" i="12"/>
  <c r="G236" i="12" s="1"/>
  <c r="BA57" i="10"/>
  <c r="BA53" i="10"/>
  <c r="BA54" i="10"/>
  <c r="BA50" i="10"/>
  <c r="BA77" i="10"/>
  <c r="BA83" i="10"/>
  <c r="BA85" i="10"/>
  <c r="J86" i="12"/>
  <c r="G209" i="12" s="1"/>
  <c r="BA97" i="10"/>
  <c r="BA106" i="10"/>
  <c r="J106" i="12"/>
  <c r="G229" i="12" s="1"/>
  <c r="BA93" i="10"/>
  <c r="BA115" i="10"/>
  <c r="BA52" i="10"/>
  <c r="BA96" i="10"/>
  <c r="BA84" i="10"/>
  <c r="BA89" i="10"/>
  <c r="BA105" i="10"/>
  <c r="BA107" i="10"/>
  <c r="BA108" i="10"/>
  <c r="BA94" i="10"/>
  <c r="BA116" i="10"/>
  <c r="BA110" i="10"/>
  <c r="BA109" i="10"/>
  <c r="J77" i="16" l="1"/>
  <c r="T78" i="16"/>
  <c r="G202" i="16" s="1"/>
  <c r="F202" i="16" s="1"/>
  <c r="BA80" i="10"/>
  <c r="J79" i="12" s="1"/>
  <c r="G202" i="12" s="1"/>
  <c r="J105" i="12"/>
  <c r="G228" i="12" s="1"/>
  <c r="F228" i="12" s="1"/>
  <c r="J94" i="12"/>
  <c r="G217" i="12" s="1"/>
  <c r="J108" i="12"/>
  <c r="G231" i="12" s="1"/>
  <c r="F231" i="12" s="1"/>
  <c r="J103" i="12"/>
  <c r="G226" i="12" s="1"/>
  <c r="F226" i="12" s="1"/>
  <c r="J85" i="12"/>
  <c r="G208" i="12" s="1"/>
  <c r="F208" i="12" s="1"/>
  <c r="J50" i="12"/>
  <c r="G173" i="12" s="1"/>
  <c r="F173" i="12" s="1"/>
  <c r="J104" i="12"/>
  <c r="G227" i="12" s="1"/>
  <c r="F227" i="12" s="1"/>
  <c r="J84" i="12"/>
  <c r="G207" i="12" s="1"/>
  <c r="F207" i="12" s="1"/>
  <c r="J52" i="12"/>
  <c r="G175" i="12" s="1"/>
  <c r="F175" i="12" s="1"/>
  <c r="J101" i="12"/>
  <c r="G224" i="12" s="1"/>
  <c r="F224" i="12" s="1"/>
  <c r="J102" i="12"/>
  <c r="G225" i="12" s="1"/>
  <c r="F225" i="12" s="1"/>
  <c r="J55" i="12"/>
  <c r="G178" i="12" s="1"/>
  <c r="F178" i="12" s="1"/>
  <c r="J83" i="12"/>
  <c r="G206" i="12" s="1"/>
  <c r="F206" i="12" s="1"/>
  <c r="J111" i="12"/>
  <c r="G234" i="12" s="1"/>
  <c r="F234" i="12" s="1"/>
  <c r="J82" i="12"/>
  <c r="G205" i="12" s="1"/>
  <c r="J92" i="12"/>
  <c r="G215" i="12" s="1"/>
  <c r="F215" i="12" s="1"/>
  <c r="J89" i="12"/>
  <c r="G212" i="12" s="1"/>
  <c r="F212" i="12" s="1"/>
  <c r="J91" i="12"/>
  <c r="G214" i="12" s="1"/>
  <c r="F214" i="12" s="1"/>
  <c r="J95" i="12"/>
  <c r="G218" i="12" s="1"/>
  <c r="F218" i="12" s="1"/>
  <c r="J76" i="12"/>
  <c r="G199" i="12" s="1"/>
  <c r="J112" i="12"/>
  <c r="G235" i="12" s="1"/>
  <c r="F235" i="12" s="1"/>
  <c r="J107" i="12"/>
  <c r="G230" i="12" s="1"/>
  <c r="F230" i="12" s="1"/>
  <c r="J88" i="12"/>
  <c r="G211" i="12" s="1"/>
  <c r="J48" i="12"/>
  <c r="G171" i="12" s="1"/>
  <c r="F171" i="12" s="1"/>
  <c r="J51" i="12"/>
  <c r="G174" i="12" s="1"/>
  <c r="F174" i="12" s="1"/>
  <c r="F233" i="12"/>
  <c r="F232" i="12"/>
  <c r="F236" i="12"/>
  <c r="F229" i="12"/>
  <c r="F209" i="12"/>
  <c r="BA95" i="10"/>
  <c r="BA51" i="10"/>
  <c r="BA56" i="10"/>
  <c r="BA81" i="10"/>
  <c r="T69" i="10"/>
  <c r="T68" i="10"/>
  <c r="V68" i="10" s="1"/>
  <c r="AT68" i="10" s="1"/>
  <c r="BH68" i="10" s="1"/>
  <c r="J67" i="16" s="1"/>
  <c r="T67" i="10"/>
  <c r="T66" i="10"/>
  <c r="T65" i="10"/>
  <c r="T64" i="10"/>
  <c r="P64" i="10"/>
  <c r="O64" i="10"/>
  <c r="T63" i="10"/>
  <c r="T61" i="10"/>
  <c r="T62" i="10"/>
  <c r="T60" i="10"/>
  <c r="T59" i="10"/>
  <c r="J80" i="12" l="1"/>
  <c r="G203" i="12" s="1"/>
  <c r="F203" i="12" s="1"/>
  <c r="J49" i="12"/>
  <c r="G172" i="12" s="1"/>
  <c r="F172" i="12" s="1"/>
  <c r="J54" i="12"/>
  <c r="G177" i="12" s="1"/>
  <c r="F177" i="12" s="1"/>
  <c r="J93" i="12"/>
  <c r="G216" i="12" s="1"/>
  <c r="F216" i="12" s="1"/>
  <c r="O66" i="10"/>
  <c r="AJ67" i="10"/>
  <c r="AJ61" i="10"/>
  <c r="AJ63" i="10"/>
  <c r="AJ60" i="10"/>
  <c r="AJ76" i="10"/>
  <c r="AJ59" i="10"/>
  <c r="AJ78" i="10"/>
  <c r="AT79" i="10"/>
  <c r="BH79" i="10" s="1"/>
  <c r="J76" i="16" s="1"/>
  <c r="F217" i="12"/>
  <c r="AJ75" i="10"/>
  <c r="AJ66" i="10"/>
  <c r="AJ64" i="10"/>
  <c r="O61" i="10"/>
  <c r="O67" i="10"/>
  <c r="O59" i="10"/>
  <c r="O60" i="10"/>
  <c r="N62" i="10"/>
  <c r="N59" i="10"/>
  <c r="N67" i="10"/>
  <c r="N61" i="10"/>
  <c r="N66" i="10"/>
  <c r="V66" i="10" s="1"/>
  <c r="N60" i="10"/>
  <c r="V67" i="10" l="1"/>
  <c r="AL76" i="10"/>
  <c r="AS76" i="10" s="1"/>
  <c r="AT76" i="10" s="1"/>
  <c r="BH76" i="10" s="1"/>
  <c r="J73" i="16" s="1"/>
  <c r="AL67" i="10"/>
  <c r="AS67" i="10" s="1"/>
  <c r="V60" i="10"/>
  <c r="AL64" i="10"/>
  <c r="AS64" i="10" s="1"/>
  <c r="V63" i="10"/>
  <c r="V62" i="10"/>
  <c r="AT62" i="10" s="1"/>
  <c r="BH62" i="10" s="1"/>
  <c r="J61" i="16" s="1"/>
  <c r="AL66" i="10"/>
  <c r="AS66" i="10" s="1"/>
  <c r="AT66" i="10" s="1"/>
  <c r="BH66" i="10" s="1"/>
  <c r="J65" i="16" s="1"/>
  <c r="AL78" i="10"/>
  <c r="AS78" i="10" s="1"/>
  <c r="AT78" i="10" s="1"/>
  <c r="BH78" i="10" s="1"/>
  <c r="J75" i="16" s="1"/>
  <c r="AL60" i="10"/>
  <c r="AS60" i="10" s="1"/>
  <c r="AL61" i="10"/>
  <c r="AS61" i="10" s="1"/>
  <c r="V61" i="10"/>
  <c r="AL75" i="10"/>
  <c r="AS75" i="10" s="1"/>
  <c r="AT75" i="10" s="1"/>
  <c r="BH75" i="10" s="1"/>
  <c r="J72" i="16" s="1"/>
  <c r="AL59" i="10"/>
  <c r="AS59" i="10" s="1"/>
  <c r="AL63" i="10"/>
  <c r="AS63" i="10" s="1"/>
  <c r="O69" i="10"/>
  <c r="V69" i="10" s="1"/>
  <c r="AT69" i="10" s="1"/>
  <c r="BH69" i="10" s="1"/>
  <c r="J68" i="16" s="1"/>
  <c r="AJ43" i="10"/>
  <c r="AL43" i="10" s="1"/>
  <c r="AS43" i="10" s="1"/>
  <c r="AJ45" i="10"/>
  <c r="AL45" i="10" s="1"/>
  <c r="AS45" i="10" s="1"/>
  <c r="BA68" i="10"/>
  <c r="AJ39" i="10"/>
  <c r="AL39" i="10" s="1"/>
  <c r="AS39" i="10" s="1"/>
  <c r="AJ40" i="10"/>
  <c r="AL40" i="10" s="1"/>
  <c r="AS40" i="10" s="1"/>
  <c r="AJ41" i="10"/>
  <c r="AL41" i="10" s="1"/>
  <c r="AS41" i="10" s="1"/>
  <c r="BA72" i="10"/>
  <c r="BA73" i="10"/>
  <c r="AJ23" i="10"/>
  <c r="AL23" i="10" s="1"/>
  <c r="AS23" i="10" s="1"/>
  <c r="AJ33" i="10"/>
  <c r="AL33" i="10" s="1"/>
  <c r="AS33" i="10" s="1"/>
  <c r="AJ38" i="10"/>
  <c r="AL38" i="10" s="1"/>
  <c r="AS38" i="10" s="1"/>
  <c r="AJ37" i="10"/>
  <c r="AL37" i="10" s="1"/>
  <c r="AS37" i="10" s="1"/>
  <c r="N64" i="10"/>
  <c r="V64" i="10" s="1"/>
  <c r="J28" i="12"/>
  <c r="AT61" i="10" l="1"/>
  <c r="BH61" i="10" s="1"/>
  <c r="J60" i="16" s="1"/>
  <c r="AT64" i="10"/>
  <c r="BH64" i="10" s="1"/>
  <c r="J63" i="16" s="1"/>
  <c r="AT63" i="10"/>
  <c r="BH63" i="10" s="1"/>
  <c r="J62" i="16" s="1"/>
  <c r="AT60" i="10"/>
  <c r="BH60" i="10" s="1"/>
  <c r="J58" i="16" s="1"/>
  <c r="V65" i="10"/>
  <c r="AT65" i="10" s="1"/>
  <c r="BH65" i="10" s="1"/>
  <c r="J64" i="16" s="1"/>
  <c r="AT67" i="10"/>
  <c r="BH67" i="10" s="1"/>
  <c r="J66" i="16" s="1"/>
  <c r="AT33" i="10"/>
  <c r="S27" i="2" s="1"/>
  <c r="AT38" i="10"/>
  <c r="AT23" i="10"/>
  <c r="AT45" i="10"/>
  <c r="AT39" i="10"/>
  <c r="AT44" i="10"/>
  <c r="AT37" i="10"/>
  <c r="S31" i="2" s="1"/>
  <c r="AT41" i="10"/>
  <c r="AT40" i="10"/>
  <c r="AT43" i="10"/>
  <c r="I31" i="14"/>
  <c r="I34" i="14" s="1"/>
  <c r="I35" i="14" s="1"/>
  <c r="I43" i="14" s="1"/>
  <c r="J72" i="12"/>
  <c r="G195" i="12" s="1"/>
  <c r="F195" i="12" s="1"/>
  <c r="J73" i="12"/>
  <c r="G196" i="12" s="1"/>
  <c r="F196" i="12" s="1"/>
  <c r="J70" i="12"/>
  <c r="G193" i="12" s="1"/>
  <c r="BA26" i="10"/>
  <c r="BA34" i="10"/>
  <c r="BA27" i="10"/>
  <c r="BA31" i="10"/>
  <c r="BA22" i="10"/>
  <c r="BA25" i="10"/>
  <c r="BA71" i="10"/>
  <c r="J63" i="12"/>
  <c r="G186" i="12" s="1"/>
  <c r="BA76" i="10"/>
  <c r="BA79" i="10"/>
  <c r="BA63" i="10" l="1"/>
  <c r="J65" i="12" s="1"/>
  <c r="G188" i="12" s="1"/>
  <c r="BA65" i="10"/>
  <c r="J67" i="12" s="1"/>
  <c r="G190" i="12" s="1"/>
  <c r="BH40" i="10"/>
  <c r="J38" i="16" s="1"/>
  <c r="BH41" i="10"/>
  <c r="J40" i="16" s="1"/>
  <c r="BH44" i="10"/>
  <c r="J43" i="16" s="1"/>
  <c r="BH45" i="10"/>
  <c r="J44" i="16" s="1"/>
  <c r="BH38" i="10"/>
  <c r="J32" i="16" s="1"/>
  <c r="BH23" i="10"/>
  <c r="J39" i="16" s="1"/>
  <c r="BH43" i="10"/>
  <c r="J42" i="16" s="1"/>
  <c r="J27" i="16"/>
  <c r="BH37" i="10"/>
  <c r="BH39" i="10"/>
  <c r="J37" i="16" s="1"/>
  <c r="BH33" i="10"/>
  <c r="J31" i="16" s="1"/>
  <c r="J75" i="12"/>
  <c r="G198" i="12" s="1"/>
  <c r="J20" i="12"/>
  <c r="G144" i="12" s="1"/>
  <c r="F144" i="12" s="1"/>
  <c r="J25" i="12"/>
  <c r="G149" i="12" s="1"/>
  <c r="F149" i="12" s="1"/>
  <c r="J36" i="12"/>
  <c r="G159" i="12" s="1"/>
  <c r="F159" i="12" s="1"/>
  <c r="J24" i="12"/>
  <c r="G148" i="12" s="1"/>
  <c r="F148" i="12" s="1"/>
  <c r="J78" i="12"/>
  <c r="G201" i="12" s="1"/>
  <c r="J61" i="12"/>
  <c r="G184" i="12" s="1"/>
  <c r="J23" i="12"/>
  <c r="G147" i="12" s="1"/>
  <c r="F147" i="12" s="1"/>
  <c r="J29" i="12"/>
  <c r="G152" i="12" s="1"/>
  <c r="F152" i="12" s="1"/>
  <c r="J22" i="12"/>
  <c r="G146" i="12" s="1"/>
  <c r="F146" i="12" s="1"/>
  <c r="BA69" i="10"/>
  <c r="BA30" i="10"/>
  <c r="BA41" i="10"/>
  <c r="BA37" i="10"/>
  <c r="BA46" i="10"/>
  <c r="F202" i="12"/>
  <c r="F199" i="12"/>
  <c r="BA44" i="10"/>
  <c r="BA62" i="10"/>
  <c r="BA61" i="10"/>
  <c r="BA67" i="10"/>
  <c r="BA43" i="10"/>
  <c r="BA40" i="10"/>
  <c r="BA33" i="10"/>
  <c r="BA39" i="10"/>
  <c r="BA35" i="10"/>
  <c r="BA60" i="10"/>
  <c r="BA66" i="10"/>
  <c r="BA75" i="10"/>
  <c r="J35" i="16" l="1"/>
  <c r="T35" i="16"/>
  <c r="BH121" i="10"/>
  <c r="BA45" i="10"/>
  <c r="J44" i="12" s="1"/>
  <c r="G167" i="12" s="1"/>
  <c r="F167" i="12" s="1"/>
  <c r="J38" i="12"/>
  <c r="G161" i="12" s="1"/>
  <c r="F161" i="12" s="1"/>
  <c r="J42" i="12"/>
  <c r="G165" i="12" s="1"/>
  <c r="F165" i="12" s="1"/>
  <c r="J64" i="12"/>
  <c r="G187" i="12" s="1"/>
  <c r="F187" i="12" s="1"/>
  <c r="J35" i="12"/>
  <c r="G158" i="12" s="1"/>
  <c r="F158" i="12" s="1"/>
  <c r="J26" i="12"/>
  <c r="G150" i="12" s="1"/>
  <c r="F150" i="12" s="1"/>
  <c r="J68" i="12"/>
  <c r="G191" i="12" s="1"/>
  <c r="F191" i="12" s="1"/>
  <c r="J43" i="12"/>
  <c r="G166" i="12" s="1"/>
  <c r="F166" i="12" s="1"/>
  <c r="J31" i="12"/>
  <c r="G154" i="12" s="1"/>
  <c r="F154" i="12" s="1"/>
  <c r="J60" i="12"/>
  <c r="G183" i="12" s="1"/>
  <c r="J33" i="12"/>
  <c r="G156" i="12" s="1"/>
  <c r="F156" i="12" s="1"/>
  <c r="J69" i="12"/>
  <c r="G192" i="12" s="1"/>
  <c r="F192" i="12" s="1"/>
  <c r="J45" i="12"/>
  <c r="G168" i="12" s="1"/>
  <c r="F168" i="12" s="1"/>
  <c r="J41" i="12"/>
  <c r="G164" i="12" s="1"/>
  <c r="F164" i="12" s="1"/>
  <c r="J71" i="12"/>
  <c r="G194" i="12" s="1"/>
  <c r="F194" i="12" s="1"/>
  <c r="J34" i="12"/>
  <c r="G157" i="12" s="1"/>
  <c r="J39" i="12"/>
  <c r="G162" i="12" s="1"/>
  <c r="F162" i="12" s="1"/>
  <c r="J62" i="12"/>
  <c r="G185" i="12" s="1"/>
  <c r="F185" i="12" s="1"/>
  <c r="AJ21" i="10"/>
  <c r="AL21" i="10" s="1"/>
  <c r="AS21" i="10" s="1"/>
  <c r="J37" i="12"/>
  <c r="G160" i="12" s="1"/>
  <c r="F160" i="12" s="1"/>
  <c r="F198" i="12"/>
  <c r="J74" i="12"/>
  <c r="F184" i="12"/>
  <c r="F193" i="12"/>
  <c r="F188" i="12"/>
  <c r="F186" i="12"/>
  <c r="BA87" i="10"/>
  <c r="BA23" i="10"/>
  <c r="BA78" i="10"/>
  <c r="BA82" i="10"/>
  <c r="BA38" i="10"/>
  <c r="J46" i="12"/>
  <c r="G169" i="12" s="1"/>
  <c r="BA64" i="10"/>
  <c r="G159" i="16" l="1"/>
  <c r="F159" i="16" s="1"/>
  <c r="T119" i="16"/>
  <c r="AT21" i="10"/>
  <c r="J21" i="12"/>
  <c r="G145" i="12" s="1"/>
  <c r="F145" i="12" s="1"/>
  <c r="J77" i="12"/>
  <c r="G200" i="12" s="1"/>
  <c r="F200" i="12" s="1"/>
  <c r="J32" i="12"/>
  <c r="G155" i="12" s="1"/>
  <c r="F155" i="12" s="1"/>
  <c r="J40" i="12"/>
  <c r="G163" i="12" s="1"/>
  <c r="F163" i="12" s="1"/>
  <c r="J27" i="12"/>
  <c r="G151" i="12" s="1"/>
  <c r="F151" i="12" s="1"/>
  <c r="J66" i="12"/>
  <c r="G189" i="12" s="1"/>
  <c r="F189" i="12" s="1"/>
  <c r="J81" i="12"/>
  <c r="G204" i="12" s="1"/>
  <c r="F204" i="12" s="1"/>
  <c r="J87" i="12"/>
  <c r="G210" i="12" s="1"/>
  <c r="F210" i="12" s="1"/>
  <c r="BA17" i="10"/>
  <c r="G197" i="12"/>
  <c r="F197" i="12" s="1"/>
  <c r="F205" i="12"/>
  <c r="F169" i="12"/>
  <c r="F211" i="12"/>
  <c r="F201" i="12"/>
  <c r="F190" i="12"/>
  <c r="F157" i="12"/>
  <c r="D11" i="1"/>
  <c r="D10" i="1"/>
  <c r="P7" i="10"/>
  <c r="I8" i="1" s="1"/>
  <c r="P8" i="10"/>
  <c r="I9" i="1" s="1"/>
  <c r="K8" i="10"/>
  <c r="T10" i="10"/>
  <c r="V10" i="10" s="1"/>
  <c r="AT10" i="10" s="1"/>
  <c r="BH10" i="10" s="1"/>
  <c r="T8" i="10"/>
  <c r="J9" i="1" s="1"/>
  <c r="T7" i="10"/>
  <c r="J8" i="1" s="1"/>
  <c r="K7" i="10"/>
  <c r="T6" i="10"/>
  <c r="J7" i="1" s="1"/>
  <c r="P6" i="10"/>
  <c r="I7" i="1" s="1"/>
  <c r="K6" i="10"/>
  <c r="T5" i="10"/>
  <c r="J6" i="1" s="1"/>
  <c r="P5" i="10"/>
  <c r="I6" i="1" s="1"/>
  <c r="K5" i="10"/>
  <c r="AJ5" i="10" s="1"/>
  <c r="AL5" i="10" s="1"/>
  <c r="AS5" i="10" s="1"/>
  <c r="T4" i="10"/>
  <c r="J5" i="1" s="1"/>
  <c r="P4" i="10"/>
  <c r="I5" i="1" s="1"/>
  <c r="D5" i="1"/>
  <c r="O7" i="10" l="1"/>
  <c r="H8" i="1" s="1"/>
  <c r="AJ6" i="10"/>
  <c r="AL6" i="10" s="1"/>
  <c r="AS6" i="10" s="1"/>
  <c r="BH21" i="10"/>
  <c r="J19" i="16" s="1"/>
  <c r="V5" i="10"/>
  <c r="N7" i="10"/>
  <c r="G8" i="1" s="1"/>
  <c r="J11" i="1"/>
  <c r="J10" i="1"/>
  <c r="J18" i="12"/>
  <c r="G142" i="12" s="1"/>
  <c r="F142" i="12" s="1"/>
  <c r="J16" i="12"/>
  <c r="G140" i="12" s="1"/>
  <c r="F140" i="12" s="1"/>
  <c r="J14" i="12"/>
  <c r="G138" i="12" s="1"/>
  <c r="F138" i="12" s="1"/>
  <c r="J15" i="12"/>
  <c r="G139" i="12" s="1"/>
  <c r="F139" i="12" s="1"/>
  <c r="BA21" i="10"/>
  <c r="AJ8" i="10"/>
  <c r="O8" i="10"/>
  <c r="H9" i="1" s="1"/>
  <c r="D8" i="1"/>
  <c r="AJ7" i="10"/>
  <c r="D6" i="1"/>
  <c r="D7" i="1"/>
  <c r="N8" i="10"/>
  <c r="G9" i="1" s="1"/>
  <c r="D9" i="1"/>
  <c r="O6" i="10"/>
  <c r="H7" i="1" s="1"/>
  <c r="N6" i="10"/>
  <c r="N101" i="10" s="1"/>
  <c r="H5" i="1"/>
  <c r="N4" i="10"/>
  <c r="V6" i="10" l="1"/>
  <c r="AT6" i="10" s="1"/>
  <c r="BH6" i="10" s="1"/>
  <c r="V101" i="10"/>
  <c r="AT101" i="10" s="1"/>
  <c r="BH101" i="10" s="1"/>
  <c r="J98" i="16" s="1"/>
  <c r="V7" i="10"/>
  <c r="AL7" i="10"/>
  <c r="AS7" i="10" s="1"/>
  <c r="N8" i="1" s="1"/>
  <c r="AL8" i="10"/>
  <c r="AS8" i="10" s="1"/>
  <c r="N9" i="1" s="1"/>
  <c r="V8" i="10"/>
  <c r="N6" i="1"/>
  <c r="AT5" i="10"/>
  <c r="BH5" i="10" s="1"/>
  <c r="J3" i="16" s="1"/>
  <c r="N7" i="1"/>
  <c r="J19" i="12"/>
  <c r="G143" i="12" s="1"/>
  <c r="F143" i="12" s="1"/>
  <c r="J7" i="16"/>
  <c r="V4" i="10"/>
  <c r="G5" i="1"/>
  <c r="G7" i="1"/>
  <c r="AT8" i="10" l="1"/>
  <c r="BH8" i="10" s="1"/>
  <c r="J6" i="16" s="1"/>
  <c r="AT7" i="10"/>
  <c r="BH7" i="10" s="1"/>
  <c r="J5" i="16" s="1"/>
  <c r="V103" i="10"/>
  <c r="AT103" i="10" s="1"/>
  <c r="BH103" i="10" s="1"/>
  <c r="J100" i="16" s="1"/>
  <c r="BA10" i="10"/>
  <c r="J8" i="12" s="1"/>
  <c r="G132" i="12" s="1"/>
  <c r="F132" i="12" s="1"/>
  <c r="J8" i="16"/>
  <c r="O10" i="1"/>
  <c r="BA9" i="10"/>
  <c r="O6" i="1"/>
  <c r="BA5" i="10"/>
  <c r="J4" i="16"/>
  <c r="AT4" i="10"/>
  <c r="O11" i="1"/>
  <c r="O9" i="1" l="1"/>
  <c r="BA8" i="10"/>
  <c r="J6" i="12" s="1"/>
  <c r="G130" i="12" s="1"/>
  <c r="F130" i="12" s="1"/>
  <c r="BA7" i="10"/>
  <c r="J5" i="12" s="1"/>
  <c r="G129" i="12" s="1"/>
  <c r="F129" i="12" s="1"/>
  <c r="O8" i="1"/>
  <c r="BA4" i="10"/>
  <c r="J2" i="12" s="1"/>
  <c r="BH4" i="10"/>
  <c r="J2" i="16" s="1"/>
  <c r="J7" i="12"/>
  <c r="G131" i="12" s="1"/>
  <c r="F131" i="12" s="1"/>
  <c r="J3" i="12"/>
  <c r="G127" i="12" s="1"/>
  <c r="F127" i="12" s="1"/>
  <c r="O7" i="1"/>
  <c r="BA6" i="10"/>
  <c r="O5" i="1"/>
  <c r="J4" i="12" l="1"/>
  <c r="G128" i="12" s="1"/>
  <c r="G126" i="12"/>
  <c r="P119" i="10"/>
  <c r="V119" i="10" s="1"/>
  <c r="AT119" i="10" s="1"/>
  <c r="BH119" i="10" s="1"/>
  <c r="J117" i="16" s="1"/>
  <c r="O12" i="1"/>
  <c r="P120" i="10"/>
  <c r="V120" i="10" s="1"/>
  <c r="AT120" i="10" s="1"/>
  <c r="BH120" i="10" s="1"/>
  <c r="J118" i="16" s="1"/>
  <c r="F126" i="16" l="1"/>
  <c r="F126" i="12"/>
  <c r="F128" i="12"/>
  <c r="BA119" i="10" l="1"/>
  <c r="J115" i="12" s="1"/>
  <c r="G238" i="12" s="1"/>
  <c r="BA120" i="10"/>
  <c r="J116" i="12" s="1"/>
  <c r="G239" i="12" s="1"/>
  <c r="BA104" i="10" l="1"/>
  <c r="AJ12" i="10"/>
  <c r="AL12" i="10" s="1"/>
  <c r="AS12" i="10" s="1"/>
  <c r="F238" i="12"/>
  <c r="AJ13" i="10"/>
  <c r="AL13" i="10" s="1"/>
  <c r="AS13" i="10" s="1"/>
  <c r="P118" i="10"/>
  <c r="AJ11" i="10"/>
  <c r="AL11" i="10" s="1"/>
  <c r="AS11" i="10" s="1"/>
  <c r="AJ14" i="10"/>
  <c r="AL14" i="10" s="1"/>
  <c r="AS14" i="10" s="1"/>
  <c r="P59" i="10"/>
  <c r="V59" i="10" s="1"/>
  <c r="AT59" i="10" l="1"/>
  <c r="BH59" i="10" s="1"/>
  <c r="J57" i="16" s="1"/>
  <c r="V118" i="10"/>
  <c r="AT118" i="10" s="1"/>
  <c r="BH118" i="10" s="1"/>
  <c r="J116" i="16" s="1"/>
  <c r="AT12" i="10"/>
  <c r="BH12" i="10" s="1"/>
  <c r="AT13" i="10"/>
  <c r="AT14" i="10"/>
  <c r="AJ91" i="10"/>
  <c r="AL91" i="10" s="1"/>
  <c r="AS91" i="10" s="1"/>
  <c r="J100" i="12"/>
  <c r="G223" i="12" s="1"/>
  <c r="F223" i="12" s="1"/>
  <c r="AT91" i="10" l="1"/>
  <c r="V122" i="10"/>
  <c r="BH13" i="10"/>
  <c r="BH14" i="10"/>
  <c r="BA118" i="10"/>
  <c r="BH91" i="10" l="1"/>
  <c r="J88" i="16" s="1"/>
  <c r="AT11" i="10"/>
  <c r="BH11" i="10" s="1"/>
  <c r="J9" i="16" s="1"/>
  <c r="J12" i="16"/>
  <c r="J13" i="16"/>
  <c r="J10" i="16"/>
  <c r="BA59" i="10"/>
  <c r="J11" i="16"/>
  <c r="J114" i="12"/>
  <c r="G237" i="12" s="1"/>
  <c r="F237" i="12" s="1"/>
  <c r="BA102" i="10"/>
  <c r="BA19" i="10"/>
  <c r="BA103" i="10"/>
  <c r="BA101" i="10"/>
  <c r="I8" i="7"/>
  <c r="K8" i="7" s="1"/>
  <c r="F239" i="12"/>
  <c r="BA13" i="10"/>
  <c r="BA15" i="10"/>
  <c r="BA12" i="10"/>
  <c r="BA14" i="10"/>
  <c r="I12" i="7" l="1"/>
  <c r="K12" i="7" s="1"/>
  <c r="AT121" i="10"/>
  <c r="S53" i="2"/>
  <c r="D8" i="7" s="1"/>
  <c r="BA11" i="10"/>
  <c r="BA121" i="10" s="1"/>
  <c r="AY124" i="10" s="1"/>
  <c r="G243" i="16"/>
  <c r="J119" i="16"/>
  <c r="J121" i="16" s="1"/>
  <c r="J97" i="12"/>
  <c r="G220" i="12" s="1"/>
  <c r="F220" i="12" s="1"/>
  <c r="J10" i="12"/>
  <c r="G134" i="12" s="1"/>
  <c r="F134" i="12" s="1"/>
  <c r="J17" i="12"/>
  <c r="G141" i="12" s="1"/>
  <c r="F141" i="12" s="1"/>
  <c r="J12" i="12"/>
  <c r="G136" i="12" s="1"/>
  <c r="F136" i="12" s="1"/>
  <c r="J13" i="12"/>
  <c r="G137" i="12" s="1"/>
  <c r="F137" i="12" s="1"/>
  <c r="J99" i="12"/>
  <c r="G222" i="12" s="1"/>
  <c r="F222" i="12" s="1"/>
  <c r="J98" i="12"/>
  <c r="G221" i="12" s="1"/>
  <c r="F221" i="12" s="1"/>
  <c r="J11" i="12"/>
  <c r="G135" i="12" s="1"/>
  <c r="F135" i="12" s="1"/>
  <c r="F183" i="12"/>
  <c r="J59" i="12"/>
  <c r="G182" i="12" s="1"/>
  <c r="F182" i="12" s="1"/>
  <c r="I11" i="7"/>
  <c r="K11" i="7" s="1"/>
  <c r="G5" i="6"/>
  <c r="J9" i="12" l="1"/>
  <c r="G133" i="12" s="1"/>
  <c r="F133" i="12" s="1"/>
  <c r="F243" i="16"/>
  <c r="D13" i="7"/>
  <c r="I13" i="7"/>
  <c r="K13" i="7" s="1"/>
  <c r="J117" i="12" l="1"/>
  <c r="J118" i="12" s="1"/>
  <c r="I122" i="12" s="1"/>
  <c r="G240" i="12"/>
  <c r="I10" i="7"/>
  <c r="K10" i="7" s="1"/>
  <c r="F240" i="12" l="1"/>
  <c r="I241" i="12" s="1"/>
  <c r="I243" i="12" s="1"/>
  <c r="I246" i="12" s="1"/>
  <c r="I9" i="7"/>
  <c r="K9" i="7" s="1"/>
  <c r="K1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I4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bpjs ibu 4 bulan dr september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SDUT-Admin2</author>
    <author>PC</author>
    <author>Windows User</author>
    <author>ACER</author>
  </authors>
  <commentList>
    <comment ref="AZ1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SDUT-Admin2:spp dan </t>
        </r>
        <r>
          <rPr>
            <sz val="9"/>
            <color indexed="81"/>
            <rFont val="Tahoma"/>
            <family val="2"/>
          </rPr>
          <t>SPP DAN DU</t>
        </r>
      </text>
    </comment>
    <comment ref="Q15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koord ekstra</t>
        </r>
      </text>
    </comment>
    <comment ref="X19" authorId="1" shapeId="0" xr:uid="{00000000-0006-0000-0200-000004000000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TUNJANGAN PENGABDIAN DLL
</t>
        </r>
      </text>
    </comment>
    <comment ref="BG2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 xml:space="preserve">SDUT-Admin2:spp dan </t>
        </r>
        <r>
          <rPr>
            <sz val="9"/>
            <color indexed="81"/>
            <rFont val="Tahoma"/>
            <family val="2"/>
          </rPr>
          <t>SPP DAN DU</t>
        </r>
      </text>
    </comment>
    <comment ref="BE41" authorId="1" shapeId="0" xr:uid="{00000000-0006-0000-0200-000008000000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2 bulan</t>
        </r>
      </text>
    </comment>
    <comment ref="O44" authorId="2" shapeId="0" xr:uid="{00000000-0006-0000-02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Saat masuk dari cuti anak 2
</t>
        </r>
      </text>
    </comment>
    <comment ref="BG45" authorId="3" shapeId="0" xr:uid="{00000000-0006-0000-0200-00000A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SPP QILA DAN GIBRAN</t>
        </r>
      </text>
    </comment>
    <comment ref="AZ46" authorId="3" shapeId="0" xr:uid="{00000000-0006-0000-0200-00000B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SPP QILA DAN GIBRAN</t>
        </r>
      </text>
    </comment>
    <comment ref="L48" authorId="1" shapeId="0" xr:uid="{17063E78-218E-4A75-9A0D-E244B7327816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wakel bu erna bulan lalu</t>
        </r>
      </text>
    </comment>
    <comment ref="X5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SDUT-Admin2:</t>
        </r>
        <r>
          <rPr>
            <sz val="9"/>
            <color indexed="81"/>
            <rFont val="Tahoma"/>
            <family val="2"/>
          </rPr>
          <t xml:space="preserve">
PUAD</t>
        </r>
      </text>
    </comment>
    <comment ref="AZ52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SDUT-Admin2:</t>
        </r>
        <r>
          <rPr>
            <sz val="9"/>
            <color indexed="81"/>
            <rFont val="Tahoma"/>
            <family val="2"/>
          </rPr>
          <t xml:space="preserve">
cicil hutang mulai 700</t>
        </r>
      </text>
    </comment>
    <comment ref="AZ5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SDUT-Admin2:</t>
        </r>
        <r>
          <rPr>
            <sz val="9"/>
            <color indexed="81"/>
            <rFont val="Tahoma"/>
            <family val="2"/>
          </rPr>
          <t xml:space="preserve">
cicil hutang mulai 700</t>
        </r>
      </text>
    </comment>
    <comment ref="X6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SDUT-Admin2:</t>
        </r>
        <r>
          <rPr>
            <sz val="9"/>
            <color indexed="81"/>
            <rFont val="Tahoma"/>
            <family val="2"/>
          </rPr>
          <t xml:space="preserve">
PENDAMPING DEMAK</t>
        </r>
      </text>
    </comment>
    <comment ref="U67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71" authorId="1" shapeId="0" xr:uid="{00000000-0006-0000-0200-00000F000000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bpjs ibu 4 bulan dr september</t>
        </r>
      </text>
    </comment>
    <comment ref="X77" authorId="1" shapeId="0" xr:uid="{00000000-0006-0000-0200-000012000000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TUNJANGAN DLL</t>
        </r>
      </text>
    </comment>
    <comment ref="L79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koor ekstra</t>
        </r>
      </text>
    </comment>
    <comment ref="BG81" authorId="3" shapeId="0" xr:uid="{00000000-0006-0000-0200-000014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spp dan setengah du</t>
        </r>
      </text>
    </comment>
    <comment ref="AZ83" authorId="3" shapeId="0" xr:uid="{00000000-0006-0000-0200-000015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spp dan setengah du</t>
        </r>
      </text>
    </comment>
    <comment ref="L85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koord osis</t>
        </r>
      </text>
    </comment>
    <comment ref="L95" authorId="1" shapeId="0" xr:uid="{5CA56283-2A53-4EA1-A00C-A6B7F6EDA05F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kabag TU</t>
        </r>
      </text>
    </comment>
    <comment ref="U95" authorId="1" shapeId="0" xr:uid="{00000000-0006-0000-0200-000018000000}">
      <text>
        <r>
          <rPr>
            <b/>
            <sz val="9"/>
            <color indexed="81"/>
            <rFont val="Tahoma"/>
            <family val="2"/>
          </rPr>
          <t xml:space="preserve">TITIP GAJI GURU KONTRAK
</t>
        </r>
      </text>
    </comment>
    <comment ref="L98" authorId="1" shapeId="0" xr:uid="{F017CB7E-F76E-42C1-A669-52EADFCD498B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koor sarpras</t>
        </r>
      </text>
    </comment>
    <comment ref="AZ103" authorId="3" shapeId="0" xr:uid="{00000000-0006-0000-0200-000019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KASBON GAJI</t>
        </r>
      </text>
    </comment>
    <comment ref="BG103" authorId="3" shapeId="0" xr:uid="{00000000-0006-0000-0200-00001A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KASBON GAJI</t>
        </r>
      </text>
    </comment>
    <comment ref="L105" authorId="1" shapeId="0" xr:uid="{A230F08D-83C7-4874-91B4-EDB7AB3600FC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sarpras</t>
        </r>
      </text>
    </comment>
    <comment ref="L106" authorId="1" shapeId="0" xr:uid="{DBCF2726-D5AD-476C-8424-82F53208B4FE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Pendidikan</t>
        </r>
      </text>
    </comment>
    <comment ref="L107" authorId="1" shapeId="0" xr:uid="{80D8EA65-776B-4C02-915A-2423E7845F8C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kebersihan</t>
        </r>
      </text>
    </comment>
    <comment ref="L108" authorId="1" shapeId="0" xr:uid="{E6DDE850-F9A7-43C0-B07B-EE14A10CE472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keamanan</t>
        </r>
      </text>
    </comment>
    <comment ref="L109" authorId="1" shapeId="0" xr:uid="{22BB1887-BEE9-4BED-A914-28041D6FEDA4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keamanan</t>
        </r>
      </text>
    </comment>
    <comment ref="L110" authorId="1" shapeId="0" xr:uid="{96748640-2953-4DB1-8F23-8D6D00A79B34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sarpras</t>
        </r>
      </text>
    </comment>
    <comment ref="L111" authorId="1" shapeId="0" xr:uid="{C5CD4025-2C05-4199-A921-7921321B7B37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kebersihan</t>
        </r>
      </text>
    </comment>
    <comment ref="L112" authorId="1" shapeId="0" xr:uid="{D5759F68-6A99-429E-B3CD-A01005BB5135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pendidikan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SDUT-Admin2</author>
  </authors>
  <commentList>
    <comment ref="O4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SDUT-Admin2:</t>
        </r>
        <r>
          <rPr>
            <sz val="9"/>
            <color indexed="81"/>
            <rFont val="Tahoma"/>
            <family val="2"/>
          </rPr>
          <t xml:space="preserve">
PAUD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SDUT-Admin2</author>
    <author>Windows User</author>
  </authors>
  <commentList>
    <comment ref="E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SDUT-Admin2:</t>
        </r>
        <r>
          <rPr>
            <sz val="9"/>
            <color indexed="81"/>
            <rFont val="Tahoma"/>
            <family val="2"/>
          </rPr>
          <t xml:space="preserve">
26 jp</t>
        </r>
      </text>
    </comment>
    <comment ref="E8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SDUT-Admin2:</t>
        </r>
        <r>
          <rPr>
            <sz val="9"/>
            <color indexed="81"/>
            <rFont val="Tahoma"/>
            <family val="2"/>
          </rPr>
          <t xml:space="preserve">
26jp</t>
        </r>
      </text>
    </comment>
    <comment ref="F10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SD 18 JP
SMP 10 JP</t>
        </r>
      </text>
    </comment>
    <comment ref="E12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SDUT-Admin2:</t>
        </r>
        <r>
          <rPr>
            <sz val="9"/>
            <color indexed="81"/>
            <rFont val="Tahoma"/>
            <family val="2"/>
          </rPr>
          <t xml:space="preserve">
26jp</t>
        </r>
      </text>
    </comment>
    <comment ref="P13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SDUT-Admin2:</t>
        </r>
        <r>
          <rPr>
            <sz val="9"/>
            <color indexed="81"/>
            <rFont val="Tahoma"/>
            <family val="2"/>
          </rPr>
          <t xml:space="preserve">
Tambahan jam 1JP
</t>
        </r>
      </text>
    </comment>
    <comment ref="F14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SD 14 JP
SMP 10 JP</t>
        </r>
      </text>
    </comment>
  </commentList>
</comments>
</file>

<file path=xl/sharedStrings.xml><?xml version="1.0" encoding="utf-8"?>
<sst xmlns="http://schemas.openxmlformats.org/spreadsheetml/2006/main" count="1074" uniqueCount="520">
  <si>
    <t>NO</t>
  </si>
  <si>
    <t>Nama Guru</t>
  </si>
  <si>
    <t>NIY</t>
  </si>
  <si>
    <t>Jabatan Struktural</t>
  </si>
  <si>
    <t>JJM Hari</t>
  </si>
  <si>
    <t>JJM Mingguan</t>
  </si>
  <si>
    <t>JJM Bulanan</t>
  </si>
  <si>
    <t>Gaji Pokok</t>
  </si>
  <si>
    <t>Tunjangan Struktural</t>
  </si>
  <si>
    <t>Tunjangan Istri/Suami</t>
  </si>
  <si>
    <t>Tunjangan Anak</t>
  </si>
  <si>
    <t xml:space="preserve">Tunjangan Beras </t>
  </si>
  <si>
    <t xml:space="preserve">Tunjangan Transport </t>
  </si>
  <si>
    <t>Jumlah Transport</t>
  </si>
  <si>
    <t>Penambahan Jam</t>
  </si>
  <si>
    <t>JUMLAH GAJI</t>
  </si>
  <si>
    <t>Ket.</t>
  </si>
  <si>
    <t>Tambahan Fungsi</t>
  </si>
  <si>
    <t>Tambah  Jam Vol</t>
  </si>
  <si>
    <t>Tambah  Jam freq</t>
  </si>
  <si>
    <t>Tambah  Jam Jumlah</t>
  </si>
  <si>
    <t>Tambah  Jam Ngaji Vol</t>
  </si>
  <si>
    <t>Tambah  Jam Ngaji freq</t>
  </si>
  <si>
    <t>Tambah  Jam Ngaji Jumlah</t>
  </si>
  <si>
    <t>THR</t>
  </si>
  <si>
    <t>TOTAL TAMBAHAN</t>
  </si>
  <si>
    <t>Pot Transport</t>
  </si>
  <si>
    <t>Pot Trans Freq</t>
  </si>
  <si>
    <t>Pot Trans Jumlah</t>
  </si>
  <si>
    <t>Pot Jam Vol</t>
  </si>
  <si>
    <t>Pot Jam Jumlah</t>
  </si>
  <si>
    <t>Pot Jam Ngaji Vol</t>
  </si>
  <si>
    <t>Pot Jam Ngaji freq</t>
  </si>
  <si>
    <t>Pot Jam Ngaji Jumlah</t>
  </si>
  <si>
    <t>Pot Piket Vol</t>
  </si>
  <si>
    <t>Pot Piket freq</t>
  </si>
  <si>
    <t>Pot Piket Jumlah</t>
  </si>
  <si>
    <t>JUMLAH POTONGAN</t>
  </si>
  <si>
    <t>TOTAL GAJI</t>
  </si>
  <si>
    <t>Edi Susilo, S. Pd. I</t>
  </si>
  <si>
    <t>Kepala Sekolah (24 +4jp)</t>
  </si>
  <si>
    <t>Heni Ari Hidayah, S.Pd</t>
  </si>
  <si>
    <t>Muhimmatun Nisa', S. Pd</t>
  </si>
  <si>
    <t>Harisatul Hidayati, S.Pd.I</t>
  </si>
  <si>
    <t>Guru Mapel</t>
  </si>
  <si>
    <t>Sugiyono/Sudarsono</t>
  </si>
  <si>
    <t>Mishbahul Ulum, S.Pd.I</t>
  </si>
  <si>
    <t>Setiawan</t>
  </si>
  <si>
    <t>Satpam</t>
  </si>
  <si>
    <t>Isniah</t>
  </si>
  <si>
    <t>Sholikul Hadi</t>
  </si>
  <si>
    <t>Sutarno</t>
  </si>
  <si>
    <t>Purniawan</t>
  </si>
  <si>
    <t>Andi Hermawan</t>
  </si>
  <si>
    <t>Muhammad Iqbal Romadhon</t>
  </si>
  <si>
    <t>Siti Mardliyah, M.Pd</t>
  </si>
  <si>
    <t>Kepala Sekolah</t>
  </si>
  <si>
    <t>Isni Mafruchatun Nisa, S.Pd</t>
  </si>
  <si>
    <t>Fajriyatuz Zahroh, S.Pd</t>
  </si>
  <si>
    <t>Evana A'isatus Zahro, S.Pd</t>
  </si>
  <si>
    <t>Anggun Monika Lestari, S.Pd</t>
  </si>
  <si>
    <t>Ratna Prasetyowati, S.Pd</t>
  </si>
  <si>
    <t>Hananingtyas Hapsari</t>
  </si>
  <si>
    <t>Zavira Ayu Listiyani</t>
  </si>
  <si>
    <t>Ahmad Ridwan</t>
  </si>
  <si>
    <t>Ikhda Khoirotus Syifa, S.Pd</t>
  </si>
  <si>
    <t>Pengasuh</t>
  </si>
  <si>
    <t>Supardi</t>
  </si>
  <si>
    <t>Eri Erviana S.Pd.</t>
  </si>
  <si>
    <t>Guru PAUD</t>
  </si>
  <si>
    <t>Sri Rohmatun S.Pd.</t>
  </si>
  <si>
    <t>Guru TPQ</t>
  </si>
  <si>
    <t>Umi Hanik</t>
  </si>
  <si>
    <t>Mufrotul Ulum</t>
  </si>
  <si>
    <t>Abdulloh Hafidh</t>
  </si>
  <si>
    <t>NAMA UNIT</t>
  </si>
  <si>
    <t>TOTAL GAJI PER BULAN</t>
  </si>
  <si>
    <t>SD</t>
  </si>
  <si>
    <t>TPQ</t>
  </si>
  <si>
    <t>SMP</t>
  </si>
  <si>
    <t>BOARDING</t>
  </si>
  <si>
    <t>PAUD</t>
  </si>
  <si>
    <t>TOTAL KESELURUHAN</t>
  </si>
  <si>
    <t>Tnjngn Kinerja</t>
  </si>
  <si>
    <t>Tunjangan Pengabdian</t>
  </si>
  <si>
    <t>Tunjangan Kinerja</t>
  </si>
  <si>
    <t>Ustdz. Siti Ruqoyah, S.Pd</t>
  </si>
  <si>
    <t>Ani Nur Wasiah, M.Pd</t>
  </si>
  <si>
    <t>Nurul Hidayatur Rohmah, S.Pd</t>
  </si>
  <si>
    <t>Bahrul Ulum, S.Kom</t>
  </si>
  <si>
    <t>Ust. Syukron Ali, S.Hum</t>
  </si>
  <si>
    <t>Ust. Ulil Absor, S.Pd.I</t>
  </si>
  <si>
    <t>Ust. Firmansyah Maulana, SE</t>
  </si>
  <si>
    <t>Ust. Muh. Sabiq Baqiyyatullah Al Hafidl</t>
  </si>
  <si>
    <t>Ust. Muh. Rojih Sibghotallah Al Hafidl</t>
  </si>
  <si>
    <t>Ust. Kholilur Rohman Al Hafidl</t>
  </si>
  <si>
    <t>SEKRETARIAT YAYASAN</t>
  </si>
  <si>
    <t>Tunjangan Transport</t>
  </si>
  <si>
    <t xml:space="preserve">Tunjangan Kinerja </t>
  </si>
  <si>
    <t>Tunjngn Pengabdian</t>
  </si>
  <si>
    <t>Honor Ngajar</t>
  </si>
  <si>
    <t xml:space="preserve">Tunjangan kinerja </t>
  </si>
  <si>
    <t>jam mengajar</t>
  </si>
  <si>
    <t>Tnjngn Pengabdian</t>
  </si>
  <si>
    <t>Hendry Setya Laksono, S.Pd.</t>
  </si>
  <si>
    <t>Siti Latifah</t>
  </si>
  <si>
    <t>Ulwiyatur Rif'ah, S.E</t>
  </si>
  <si>
    <t>Rini Shohihah, S.E</t>
  </si>
  <si>
    <t>Winda Zuliyaningsih</t>
  </si>
  <si>
    <t>Nawan Riyan Zufar, S.Pd.</t>
  </si>
  <si>
    <t>Rona Faroni, S.Kom</t>
  </si>
  <si>
    <t>Aufal Hadaya, M.Pd</t>
  </si>
  <si>
    <t>Tunjangan Transpot</t>
  </si>
  <si>
    <t>Transpot Per Hari</t>
  </si>
  <si>
    <t>Penambahan Jam/Jam Mengajar</t>
  </si>
  <si>
    <t>Nama</t>
  </si>
  <si>
    <t>T.Kinerja</t>
  </si>
  <si>
    <t>Diajukan Oleh Bendahara Pengeluaran</t>
  </si>
  <si>
    <t>Disetujui Oleh:</t>
  </si>
  <si>
    <t>Ketua Pengurus YPBK</t>
  </si>
  <si>
    <t>PENGAJUAN REALISASI</t>
  </si>
  <si>
    <t>Bendahara YPBK</t>
  </si>
  <si>
    <t>Tanggal........</t>
  </si>
  <si>
    <t xml:space="preserve">  GAJI GURU dan KARYAWAN YAYASAN PENDIDIKAN BUMI KARTINI</t>
  </si>
  <si>
    <t>TOTAL POTONGAN</t>
  </si>
  <si>
    <t>OTAL POTONGAN</t>
  </si>
  <si>
    <t>Ust. Hasan Bahauddin</t>
  </si>
  <si>
    <t>Muhammad Wahyu Wibowo, S.Pd</t>
  </si>
  <si>
    <t>Ustdz. Hilyatus Syarif Al Hafidloh</t>
  </si>
  <si>
    <t>Waka Kurikulum</t>
  </si>
  <si>
    <t>Waka Kesiswaan</t>
  </si>
  <si>
    <t>Khotimatul Khusna, S.Pd.I</t>
  </si>
  <si>
    <t>Nor Umaroh, S.Sy</t>
  </si>
  <si>
    <t>Zulfaa, S.Ag</t>
  </si>
  <si>
    <t>Pot Jam Freq</t>
  </si>
  <si>
    <t>Bendahara (Pemasukan)</t>
  </si>
  <si>
    <t>Bendahara (Pengeluaran)</t>
  </si>
  <si>
    <t>Koperasi YPBK</t>
  </si>
  <si>
    <t>Staff Yayasan</t>
  </si>
  <si>
    <t>Penjaga SD</t>
  </si>
  <si>
    <t>CS</t>
  </si>
  <si>
    <t>TU SD</t>
  </si>
  <si>
    <t>Catering</t>
  </si>
  <si>
    <t>Ust. Muhammad Syafi'ul Anam Al Hafidh</t>
  </si>
  <si>
    <t>Ustdz. Nailul Muna</t>
  </si>
  <si>
    <t>012010002</t>
  </si>
  <si>
    <t>012010003</t>
  </si>
  <si>
    <t>012010004</t>
  </si>
  <si>
    <t>012010008</t>
  </si>
  <si>
    <t>012011014</t>
  </si>
  <si>
    <t>012011015</t>
  </si>
  <si>
    <t>012011016</t>
  </si>
  <si>
    <t>012012021</t>
  </si>
  <si>
    <t>012012022</t>
  </si>
  <si>
    <t>012012024</t>
  </si>
  <si>
    <t>012012025</t>
  </si>
  <si>
    <t>012012027</t>
  </si>
  <si>
    <t>012012028</t>
  </si>
  <si>
    <t>012013032</t>
  </si>
  <si>
    <t>012013033</t>
  </si>
  <si>
    <t>012013036</t>
  </si>
  <si>
    <t>012013037</t>
  </si>
  <si>
    <t>012013038</t>
  </si>
  <si>
    <t>012014044</t>
  </si>
  <si>
    <t>012014049</t>
  </si>
  <si>
    <t>012015050</t>
  </si>
  <si>
    <t>012015056</t>
  </si>
  <si>
    <t>012015057</t>
  </si>
  <si>
    <t>012015061</t>
  </si>
  <si>
    <t>012016066</t>
  </si>
  <si>
    <t>012016067</t>
  </si>
  <si>
    <t>012016068</t>
  </si>
  <si>
    <t>012016072</t>
  </si>
  <si>
    <t>012017074</t>
  </si>
  <si>
    <t>012017089</t>
  </si>
  <si>
    <t>012018092</t>
  </si>
  <si>
    <t>012018097</t>
  </si>
  <si>
    <t>012019108</t>
  </si>
  <si>
    <t>012019109</t>
  </si>
  <si>
    <t>012019115</t>
  </si>
  <si>
    <t>012019116</t>
  </si>
  <si>
    <t>012020127</t>
  </si>
  <si>
    <t>012020128</t>
  </si>
  <si>
    <t>012020129</t>
  </si>
  <si>
    <t>012020130</t>
  </si>
  <si>
    <t>012020132</t>
  </si>
  <si>
    <t>012020133</t>
  </si>
  <si>
    <t>012020134</t>
  </si>
  <si>
    <t>012020135</t>
  </si>
  <si>
    <t>012020152</t>
  </si>
  <si>
    <t>KETERANGAN</t>
  </si>
  <si>
    <t>BYK</t>
  </si>
  <si>
    <t>BESARAN</t>
  </si>
  <si>
    <t>FREQ</t>
  </si>
  <si>
    <t xml:space="preserve">JUMLAH </t>
  </si>
  <si>
    <t>TAHUN PELAJARAN 2022/2023</t>
  </si>
  <si>
    <t>BELANJA PEGAWAI</t>
  </si>
  <si>
    <t>BELANJA PEGAWAI SEKRETARIAT</t>
  </si>
  <si>
    <t>BELANJA PEGAWAI SD</t>
  </si>
  <si>
    <t>BELANJA PEGAWAI TPQ</t>
  </si>
  <si>
    <t>BELANJA PEGAWAI SMP</t>
  </si>
  <si>
    <t>BELANJA PEGAWAI IBS</t>
  </si>
  <si>
    <t>BELANJA PEGAWAI PAUD</t>
  </si>
  <si>
    <t>Jepara, .............</t>
  </si>
  <si>
    <t>TOTAL</t>
  </si>
  <si>
    <t>(1 TAHUN)</t>
  </si>
  <si>
    <t>Desitrillia Nurjannah, S.Pd.</t>
  </si>
  <si>
    <t>Wakel 1 Kudus</t>
  </si>
  <si>
    <t>Wakel 2 Yogyakarta</t>
  </si>
  <si>
    <t>Pendamping 2 Yogyakarta</t>
  </si>
  <si>
    <t>Ust. M.Tijani Robert Kalthoum</t>
  </si>
  <si>
    <t>Ustdz. Wardah Alfin Noer</t>
  </si>
  <si>
    <t>Ust. Fatchurrohman</t>
  </si>
  <si>
    <t>Syafiun Nuha, S.Pd</t>
  </si>
  <si>
    <t>Nilna Maulidatul Wafa</t>
  </si>
  <si>
    <t>Fitrotul Hidayah, S.Pd</t>
  </si>
  <si>
    <t>012015058</t>
  </si>
  <si>
    <t>Kepala Sekolah TPQ</t>
  </si>
  <si>
    <t>012017083</t>
  </si>
  <si>
    <t>Guru dan Sekretaris TPQ</t>
  </si>
  <si>
    <t>012010007</t>
  </si>
  <si>
    <t>012016071</t>
  </si>
  <si>
    <t>012013039</t>
  </si>
  <si>
    <t>012017085</t>
  </si>
  <si>
    <t>012015059</t>
  </si>
  <si>
    <t>012019112</t>
  </si>
  <si>
    <t>012017084</t>
  </si>
  <si>
    <t>012018096</t>
  </si>
  <si>
    <t>012019114</t>
  </si>
  <si>
    <t>012019113</t>
  </si>
  <si>
    <t>012017086</t>
  </si>
  <si>
    <t>012010005</t>
  </si>
  <si>
    <t>Penasehat dan Pentashih</t>
  </si>
  <si>
    <t>012012019</t>
  </si>
  <si>
    <t>012017078</t>
  </si>
  <si>
    <t>012016065</t>
  </si>
  <si>
    <t>012017081</t>
  </si>
  <si>
    <t>012017080</t>
  </si>
  <si>
    <t>012017077</t>
  </si>
  <si>
    <t>012014045</t>
  </si>
  <si>
    <t>012018093</t>
  </si>
  <si>
    <t>012019111</t>
  </si>
  <si>
    <t>012020138</t>
  </si>
  <si>
    <t>012020141</t>
  </si>
  <si>
    <t>012020137</t>
  </si>
  <si>
    <t>Fadzel Muhammad Rifandi, S.Pd</t>
  </si>
  <si>
    <t>012019117</t>
  </si>
  <si>
    <t>012017088</t>
  </si>
  <si>
    <t>Koordinator TU SMP dan Pustakawan</t>
  </si>
  <si>
    <t>012018091</t>
  </si>
  <si>
    <t>012020142</t>
  </si>
  <si>
    <t>Operator SMP</t>
  </si>
  <si>
    <t>012019122</t>
  </si>
  <si>
    <t>012019123</t>
  </si>
  <si>
    <t>012019126</t>
  </si>
  <si>
    <t>012020143</t>
  </si>
  <si>
    <t>012020145</t>
  </si>
  <si>
    <t>012020150</t>
  </si>
  <si>
    <t>012020151</t>
  </si>
  <si>
    <t>012018094</t>
  </si>
  <si>
    <t>Kepala Sekolah PAUD</t>
  </si>
  <si>
    <t>012018101</t>
  </si>
  <si>
    <t>012018100</t>
  </si>
  <si>
    <t>Rochmatun, S.Sy</t>
  </si>
  <si>
    <t>Aminatul Munawwaroh Al Hafidhoh</t>
  </si>
  <si>
    <t>Wahyuti, Al Hafidhoh</t>
  </si>
  <si>
    <t>Shoutul Hidayah Al Hafidhoh</t>
  </si>
  <si>
    <t>Alfi Syafa'atin Al Hafidhoh</t>
  </si>
  <si>
    <t>Ulya Nailus Saadah Al Hafidhoh</t>
  </si>
  <si>
    <t>M. Zaim Darojat, S.Pd Al hafidz</t>
  </si>
  <si>
    <t>Zeni Nur Lathifah, S.Ag Al Hafidhoh</t>
  </si>
  <si>
    <t>Kabag. Rumah Tangga</t>
  </si>
  <si>
    <t>Kabag. Keuangan</t>
  </si>
  <si>
    <t>Ka Sub Bag Pengeluaran</t>
  </si>
  <si>
    <t>Kepala Sekretariatan</t>
  </si>
  <si>
    <t>Ka Sub Bag Sarpras dan IT</t>
  </si>
  <si>
    <t>Kabag. Penjamin Mutu</t>
  </si>
  <si>
    <t>TMT</t>
  </si>
  <si>
    <t>Masa Kerja</t>
  </si>
  <si>
    <t xml:space="preserve"> 02 Juli 2010</t>
  </si>
  <si>
    <t>14 Juli 2018</t>
  </si>
  <si>
    <t>1 Juli 2019</t>
  </si>
  <si>
    <t>Muhammad Misbahuddin Arif, S.Kom</t>
  </si>
  <si>
    <t>25 Juli 2018</t>
  </si>
  <si>
    <t>01 Agustus 2018</t>
  </si>
  <si>
    <t>15 Juli 2019</t>
  </si>
  <si>
    <t>13 Juli 2020</t>
  </si>
  <si>
    <t>12 Juli 2021</t>
  </si>
  <si>
    <t xml:space="preserve"> 27 Juli 2015</t>
  </si>
  <si>
    <t>12 Tahun</t>
  </si>
  <si>
    <t>7 Tahun</t>
  </si>
  <si>
    <t>6 Tahun</t>
  </si>
  <si>
    <t>5 Tahun</t>
  </si>
  <si>
    <t>4 Tahun</t>
  </si>
  <si>
    <t>3 Tahun</t>
  </si>
  <si>
    <t>11 Tahun</t>
  </si>
  <si>
    <t>10 Tahun</t>
  </si>
  <si>
    <t>9 Tahun</t>
  </si>
  <si>
    <t>2 Tahun</t>
  </si>
  <si>
    <t>1 Tahun</t>
  </si>
  <si>
    <t>8 Tahun</t>
  </si>
  <si>
    <t>Potongan DPL/Dana Pensiun</t>
  </si>
  <si>
    <t>Potongan Kredit</t>
  </si>
  <si>
    <t>Potongan Dansos</t>
  </si>
  <si>
    <t>Potongan BPJS</t>
  </si>
  <si>
    <t>Potongan Arisan</t>
  </si>
  <si>
    <t>Potongan Lainnya</t>
  </si>
  <si>
    <t>JUMLAH GAJI YANG DITERIMA</t>
  </si>
  <si>
    <t>A</t>
  </si>
  <si>
    <t>Jepara1</t>
  </si>
  <si>
    <t>NAMA</t>
  </si>
  <si>
    <t>NOREK</t>
  </si>
  <si>
    <t>Potongan DPLK</t>
  </si>
  <si>
    <t>Jumlah Total</t>
  </si>
  <si>
    <t>2068053679</t>
  </si>
  <si>
    <t>2068053687</t>
  </si>
  <si>
    <t>2015214620</t>
  </si>
  <si>
    <t>BRUTO</t>
  </si>
  <si>
    <t>NETTO</t>
  </si>
  <si>
    <t>tunai</t>
  </si>
  <si>
    <t>transfer</t>
  </si>
  <si>
    <t>total</t>
  </si>
  <si>
    <t>Kabag Keuangan</t>
  </si>
  <si>
    <t>Diverifikasi</t>
  </si>
  <si>
    <t>Mengetahui</t>
  </si>
  <si>
    <t>Bendahara Pengeluaran</t>
  </si>
  <si>
    <t>Diajukan Oleh :</t>
  </si>
  <si>
    <t>H. Imamuddin</t>
  </si>
  <si>
    <t>Bendahara</t>
  </si>
  <si>
    <t>Rini Shohihah, S.E.</t>
  </si>
  <si>
    <t>Muhammad Miftakhur Rosyad</t>
  </si>
  <si>
    <t>Muhammad Khotim</t>
  </si>
  <si>
    <t>GAJI YPBK</t>
  </si>
  <si>
    <t xml:space="preserve">                                                                                                                                                                                       </t>
  </si>
  <si>
    <t>No Kode</t>
  </si>
  <si>
    <t>:</t>
  </si>
  <si>
    <t>Periode</t>
  </si>
  <si>
    <t>Bulan</t>
  </si>
  <si>
    <t>Penerimaan</t>
  </si>
  <si>
    <t>No</t>
  </si>
  <si>
    <t>Deskripsi</t>
  </si>
  <si>
    <t>Total Jam</t>
  </si>
  <si>
    <t>Perminggu</t>
  </si>
  <si>
    <t>Biaya/Mapel</t>
  </si>
  <si>
    <t>Jumlah</t>
  </si>
  <si>
    <t>Tunjangan Beras</t>
  </si>
  <si>
    <t>Penambahan Jam Mengajar</t>
  </si>
  <si>
    <t xml:space="preserve">Jumlah Gaji </t>
  </si>
  <si>
    <t>Tambahan Pergantian Jam</t>
  </si>
  <si>
    <t>Tambahan jam ngaji</t>
  </si>
  <si>
    <t>Jumlah Tambahan</t>
  </si>
  <si>
    <t>Potongan Transport</t>
  </si>
  <si>
    <t>Potongan Jam Mengajar</t>
  </si>
  <si>
    <t>Potongan Jam Ngaji</t>
  </si>
  <si>
    <t>Potongan Piket</t>
  </si>
  <si>
    <t>Jumlah Potongan</t>
  </si>
  <si>
    <t>Total Gaji</t>
  </si>
  <si>
    <t>Jumlah gaji yang ditransfer</t>
  </si>
  <si>
    <t>RINI SHOHIHAH, S.E</t>
  </si>
  <si>
    <t>NUR ROHMAN, S.Pd., M.Si</t>
  </si>
  <si>
    <t>Staff Keuangan</t>
  </si>
  <si>
    <t>Ketua Yayasan</t>
  </si>
  <si>
    <t>BULAN :</t>
  </si>
  <si>
    <t>BULAN JUNI 2023</t>
  </si>
  <si>
    <t>Jepara, 23 juni 2023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</si>
  <si>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</si>
  <si>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Ahmad Muayyad</t>
  </si>
  <si>
    <t>Nurul Shofiana</t>
  </si>
  <si>
    <t>Sekar Ayu Pamungkas</t>
  </si>
  <si>
    <t>13 Tahun</t>
  </si>
  <si>
    <t>11Tahun</t>
  </si>
  <si>
    <t xml:space="preserve">Khoiril Anam, M.Pd. </t>
  </si>
  <si>
    <t xml:space="preserve">Mariatul Qibityah, S.Pd. </t>
  </si>
  <si>
    <t xml:space="preserve">Rahmat Uki Bahtiar, S.Sy, S.Pd. </t>
  </si>
  <si>
    <t>M.A Izzuddin Jazuli, S.Ag</t>
  </si>
  <si>
    <t>Nurun Nahari Syarifah, S.Psi.</t>
  </si>
  <si>
    <t>Maulida Rahmawati, S.Pd.</t>
  </si>
  <si>
    <t>Syaifiana Anjar Puspitasari,S.Pd.</t>
  </si>
  <si>
    <t>Atana Ridhoka, Lc.</t>
  </si>
  <si>
    <t xml:space="preserve">Rizki Hardyanti, S.Pd. </t>
  </si>
  <si>
    <t>Wakel  1 BCP</t>
  </si>
  <si>
    <t>Pendamping Kelas BCP</t>
  </si>
  <si>
    <t xml:space="preserve">Firda Farihatul Ulya, S.Pd. </t>
  </si>
  <si>
    <t xml:space="preserve">Luqman Khafid, M.Pd. </t>
  </si>
  <si>
    <t xml:space="preserve">Ni'matul Afifah, S.Pd. </t>
  </si>
  <si>
    <t xml:space="preserve">Khoiril Anwar, S.Pd. </t>
  </si>
  <si>
    <t xml:space="preserve">Nur Janah, S.Pd. </t>
  </si>
  <si>
    <t xml:space="preserve">Sri Hartatik, S.Pd. </t>
  </si>
  <si>
    <t>Risqa Nur Fadhilah, S.Pd.</t>
  </si>
  <si>
    <t xml:space="preserve">Rika Setyaningsih, S.Pd. </t>
  </si>
  <si>
    <t>Shofi Inayah, S.Pd.</t>
  </si>
  <si>
    <t xml:space="preserve">Nihlatillah, S.Pd. </t>
  </si>
  <si>
    <t>Titin Safitri, S.Pd.</t>
  </si>
  <si>
    <t>Khoiroma Aushof, S.Pd.</t>
  </si>
  <si>
    <t>Mariyatu Ulfa, S.Pd.</t>
  </si>
  <si>
    <t xml:space="preserve">Wakel 5 Tiongkok </t>
  </si>
  <si>
    <t>Faridah, M.Pd.</t>
  </si>
  <si>
    <t>Asmal Wafa, S.Pd.</t>
  </si>
  <si>
    <t xml:space="preserve">Faiz Luzmi, S.Pd. </t>
  </si>
  <si>
    <t xml:space="preserve">Novia Aristyana, S.Pd. </t>
  </si>
  <si>
    <t>Ngatriatun, S.Pd.</t>
  </si>
  <si>
    <t xml:space="preserve">Wakel 6 Maroko </t>
  </si>
  <si>
    <t>Ernawati, M.Pd.</t>
  </si>
  <si>
    <t xml:space="preserve">Wakel 6 Qatar </t>
  </si>
  <si>
    <t xml:space="preserve">Layla Qodriyyana, S.Pd. </t>
  </si>
  <si>
    <t>Wakel 6 MESIR</t>
  </si>
  <si>
    <t xml:space="preserve">Raka Adi Setya, S.Pd. </t>
  </si>
  <si>
    <t>Waka Kurikulum (12 jp)</t>
  </si>
  <si>
    <t>Waka Kesiswaan (12 jp)</t>
  </si>
  <si>
    <t>Koord Sar-pras SD (12 jp)</t>
  </si>
  <si>
    <t>Wakel 1 Jepara</t>
  </si>
  <si>
    <t xml:space="preserve">Wakel  1 Pati </t>
  </si>
  <si>
    <t>Wakel 3 Makassar</t>
  </si>
  <si>
    <t xml:space="preserve">Wakel 3 Banjarmasin </t>
  </si>
  <si>
    <t xml:space="preserve">Wakel 4 Makkah </t>
  </si>
  <si>
    <t xml:space="preserve">Wakel 4 Madinah </t>
  </si>
  <si>
    <t>Wakel 5 India</t>
  </si>
  <si>
    <t>Wakel 5 Perancis</t>
  </si>
  <si>
    <t>-</t>
  </si>
  <si>
    <t>Wali kelas 7B</t>
  </si>
  <si>
    <t>Guru BK</t>
  </si>
  <si>
    <t>Muhammad Abdul Karim, S.Pd</t>
  </si>
  <si>
    <t>Koordinator Sarpras</t>
  </si>
  <si>
    <t>Desember 2023</t>
  </si>
  <si>
    <t>1 Tahun/Des</t>
  </si>
  <si>
    <t>1 Tahun/September</t>
  </si>
  <si>
    <t>Januari 2023</t>
  </si>
  <si>
    <t>1 Tahun/ Januari</t>
  </si>
  <si>
    <t>Siswanto</t>
  </si>
  <si>
    <t>Laila nur Annisa Agustina</t>
  </si>
  <si>
    <t>A. Syehmi Samchan</t>
  </si>
  <si>
    <t>Makan SD 15jt</t>
  </si>
  <si>
    <t>Makan SMP 10jt</t>
  </si>
  <si>
    <t>Pak Nur hari ini pencairan dana</t>
  </si>
  <si>
    <t>Gaji Januari 249.149.288</t>
  </si>
  <si>
    <t>Naik Daya 60.821.000</t>
  </si>
  <si>
    <t>LDKS 6.043.000</t>
  </si>
  <si>
    <t>Material TB Makmur 6.712.000</t>
  </si>
  <si>
    <t>TB Subur 39.634.000</t>
  </si>
  <si>
    <t>Rizki Margi Tirta Ramadhani, S.Pd.</t>
  </si>
  <si>
    <t>HANIF MUSTAQFIROH, S.Pd.</t>
  </si>
  <si>
    <t>FARRAS ULAYYA ALLIFNI, S.Pd.</t>
  </si>
  <si>
    <t>NUR KHAMIDAH, S.Pd.</t>
  </si>
  <si>
    <t>HUSNUL KHOTIMAH, S.Pd.</t>
  </si>
  <si>
    <t>Pendamping kelas Jepara</t>
  </si>
  <si>
    <t>Pendamping kelas Pati</t>
  </si>
  <si>
    <t>Pendamping 1 Kudus</t>
  </si>
  <si>
    <t>Wakel 4 Jeddah</t>
  </si>
  <si>
    <t>7/15/2013@mei 2024</t>
  </si>
  <si>
    <t>7/18/2016@mai 2024</t>
  </si>
  <si>
    <t>7/18/2012@mei 2024</t>
  </si>
  <si>
    <t>7/17/2017@mei 2024</t>
  </si>
  <si>
    <t>TANGGAL</t>
  </si>
  <si>
    <t>SALDO</t>
  </si>
  <si>
    <t>MASUK</t>
  </si>
  <si>
    <t>KELUAR</t>
  </si>
  <si>
    <t>14 Tahun</t>
  </si>
  <si>
    <t>Wakel 2 IPC</t>
  </si>
  <si>
    <t>Pendamping kelas 2 IPC</t>
  </si>
  <si>
    <t>Wakel 2 Tahfidz</t>
  </si>
  <si>
    <t>Pendamping 2 Tahfidz</t>
  </si>
  <si>
    <t>Wakel 2 Bandung</t>
  </si>
  <si>
    <t>Pendamping 2 Bandung</t>
  </si>
  <si>
    <t>Wakel 3 Aceh</t>
  </si>
  <si>
    <t>Wakel 3 Palembang</t>
  </si>
  <si>
    <t xml:space="preserve"> 15 Juli 2013 (2019)</t>
  </si>
  <si>
    <t xml:space="preserve">Wakel 4 Yunani </t>
  </si>
  <si>
    <t>Wakel 5 Korsel</t>
  </si>
  <si>
    <t xml:space="preserve">Wakel 6 Dubai </t>
  </si>
  <si>
    <t>Wakel 6 Yaman</t>
  </si>
  <si>
    <t>4 tahun</t>
  </si>
  <si>
    <t>2 Tahun (september)</t>
  </si>
  <si>
    <t>Juli 2024</t>
  </si>
  <si>
    <t>Hilyatus Syarif Al Hafidloh</t>
  </si>
  <si>
    <t>Wali Kelas 8A</t>
  </si>
  <si>
    <t>Wali Kelas 8R</t>
  </si>
  <si>
    <t>Wali kelas 9B</t>
  </si>
  <si>
    <t>Walikelas 7A</t>
  </si>
  <si>
    <t>Walikelas  9R</t>
  </si>
  <si>
    <t>Wali kelas 9A</t>
  </si>
  <si>
    <t>Wali kelas 7Rb</t>
  </si>
  <si>
    <t>Wali Kelas 8B</t>
  </si>
  <si>
    <t>Wali kelas 7Ra</t>
  </si>
  <si>
    <t>Agustus 2023</t>
  </si>
  <si>
    <t>Juli 2022</t>
  </si>
  <si>
    <t>Juli 2021</t>
  </si>
  <si>
    <t>Penambahan jam Mengajar</t>
  </si>
  <si>
    <t>GAJI + TUNJANGAN KARYAWAN SEKRETARIAT YPBK TP 2024/2025</t>
  </si>
  <si>
    <t>JULI</t>
  </si>
  <si>
    <t>Jepara, 25 JULI 2024</t>
  </si>
  <si>
    <t>GAJI +TUNJANGAN GURU DAN KARYAWAN SD UT  TP 2024/2025</t>
  </si>
  <si>
    <t>GAJI + TUNJANGAN GURU TPQ YPBK TP 2024/2025</t>
  </si>
  <si>
    <t>GAJI + TUNJANGAN GURU DAN KARYAWAN SMP UT BK TP 2024/2025</t>
  </si>
  <si>
    <t>GAJI +TUNJANGAN MUROBBI/MUROBBIYAH BOARDING BK TP 2024/2025</t>
  </si>
  <si>
    <t>GAJI + TUNJANGAN GURU PAUD BK TP 2024/2025</t>
  </si>
  <si>
    <t>BULAN JULI 2024</t>
  </si>
  <si>
    <t>Gaji Juli 249.132336</t>
  </si>
  <si>
    <t>Makan SD 20jt</t>
  </si>
  <si>
    <t>Makan SMP 15jt</t>
  </si>
  <si>
    <t>AC Kamar IBS 45jt</t>
  </si>
  <si>
    <t>Kursi Meja SMP Informa 45jt/Pak Agung 35jt</t>
  </si>
  <si>
    <t>Alat Bahan Kebersihan IBS 5jt</t>
  </si>
  <si>
    <t>Perlengkapan Aset Sekolah SMP 3.910.000</t>
  </si>
  <si>
    <t>TB. MAKMUR</t>
  </si>
  <si>
    <t>* Asrama Putri Rp. 5.503.000,-</t>
  </si>
  <si>
    <t>* Asrama Putra Rp. 8.280.000,-</t>
  </si>
  <si>
    <t>* Lemari dan Loker asrama Rp. 726.000,-</t>
  </si>
  <si>
    <t>TB. SUBUR</t>
  </si>
  <si>
    <t>* Asrama Putri Rp. 1.071.000,-</t>
  </si>
  <si>
    <t>* Asrama Putra  Rp. 1.310.000,-</t>
  </si>
  <si>
    <t>Tukang Servis Lemari</t>
  </si>
  <si>
    <t>- 4,5 hari = Rp. 450.000,-</t>
  </si>
  <si>
    <t>Kusen Pak Juwahab Rp. 1.500.000,</t>
  </si>
  <si>
    <t>TAHUN PELAJARAN 2024/2025</t>
  </si>
  <si>
    <t xml:space="preserve">BPJS </t>
  </si>
  <si>
    <t>LISTRIK SD</t>
  </si>
  <si>
    <t>LISTRIK SMP</t>
  </si>
  <si>
    <t>dansos</t>
  </si>
  <si>
    <t>sekolah</t>
  </si>
  <si>
    <t>Pribadi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</si>
</sst>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&quot;Rp&quot;* #,##0_);_(&quot;Rp&quot;* \(#,##0\);_(&quot;Rp&quot;* &quot;-&quot;_);_(@_)"/>
    <numFmt numFmtId="166" formatCode="_(* #,##0_);_(* \(#,##0\);_(* &quot;-&quot;??_);_(@_)"/>
    <numFmt numFmtId="167" formatCode="_([$Rp-421]* #,##0_);_([$Rp-421]* \(#,##0\);_([$Rp-421]* &quot;-&quot;_);_(@_)"/>
    <numFmt numFmtId="168" formatCode="[$-421]dd\ mmmm\ yyyy;@"/>
    <numFmt numFmtId="169" formatCode="[$-F800]dddd\,\ mmmm\ dd\,\ yyyy"/>
  </numFmts>
  <fonts count="5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Calibri"/>
      <family val="2"/>
      <charset val="1"/>
      <scheme val="minor"/>
    </font>
    <font>
      <sz val="9"/>
      <color theme="1"/>
      <name val="Arial Narrow"/>
      <family val="2"/>
    </font>
    <font>
      <b/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 Narrow"/>
      <family val="2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0"/>
      <color theme="1"/>
      <name val="Times New Roman"/>
      <family val="1"/>
    </font>
    <font>
      <sz val="10"/>
      <color theme="1"/>
      <name val="Castellar"/>
      <family val="1"/>
    </font>
    <font>
      <b/>
      <sz val="10"/>
      <color theme="1"/>
      <name val="Calibri"/>
      <family val="2"/>
      <charset val="1"/>
      <scheme val="minor"/>
    </font>
    <font>
      <sz val="10"/>
      <color indexed="8"/>
      <name val="Calibri"/>
      <family val="2"/>
    </font>
    <font>
      <sz val="12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43" fontId="16" fillId="0" borderId="0" applyFont="0" applyFill="0" applyBorder="0" applyAlignment="0" applyProtection="0"/>
    <xf numFmtId="0" fontId="10" fillId="0" borderId="0"/>
    <xf numFmtId="0" fontId="11" fillId="0" borderId="0"/>
    <xf numFmtId="0" fontId="5" fillId="0" borderId="0"/>
    <xf numFmtId="0" fontId="4" fillId="0" borderId="0"/>
    <xf numFmtId="0" fontId="50" fillId="0" borderId="0" applyNumberFormat="0" applyFill="0" applyBorder="0" applyAlignment="0" applyProtection="0"/>
  </cellStyleXfs>
  <cellXfs count="547">
    <xf numFmtId="0" fontId="0" fillId="0" borderId="0" xfId="0"/>
    <xf numFmtId="41" fontId="0" fillId="0" borderId="0" xfId="2" applyFont="1"/>
    <xf numFmtId="41" fontId="0" fillId="0" borderId="0" xfId="0" applyNumberFormat="1"/>
    <xf numFmtId="0" fontId="18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164" fontId="19" fillId="0" borderId="0" xfId="4" applyFont="1" applyBorder="1"/>
    <xf numFmtId="0" fontId="17" fillId="3" borderId="1" xfId="0" applyFont="1" applyFill="1" applyBorder="1" applyAlignment="1">
      <alignment horizontal="center" vertical="center" wrapText="1"/>
    </xf>
    <xf numFmtId="41" fontId="21" fillId="3" borderId="1" xfId="2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textRotation="90" wrapText="1"/>
    </xf>
    <xf numFmtId="0" fontId="17" fillId="3" borderId="1" xfId="0" applyFont="1" applyFill="1" applyBorder="1" applyAlignment="1">
      <alignment horizontal="center" vertical="center"/>
    </xf>
    <xf numFmtId="41" fontId="17" fillId="3" borderId="1" xfId="2" applyFont="1" applyFill="1" applyBorder="1" applyAlignment="1">
      <alignment horizontal="center" vertical="center" wrapText="1"/>
    </xf>
    <xf numFmtId="41" fontId="17" fillId="3" borderId="1" xfId="2" applyFont="1" applyFill="1" applyBorder="1" applyAlignment="1">
      <alignment horizontal="center" vertical="center"/>
    </xf>
    <xf numFmtId="166" fontId="20" fillId="0" borderId="1" xfId="3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41" fontId="28" fillId="0" borderId="0" xfId="2" applyFont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41" fontId="20" fillId="0" borderId="1" xfId="2" applyFont="1" applyFill="1" applyBorder="1" applyAlignment="1">
      <alignment horizontal="center" vertical="center"/>
    </xf>
    <xf numFmtId="164" fontId="20" fillId="0" borderId="1" xfId="4" applyFont="1" applyFill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/>
    </xf>
    <xf numFmtId="3" fontId="17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textRotation="90" wrapText="1"/>
    </xf>
    <xf numFmtId="0" fontId="21" fillId="3" borderId="1" xfId="0" applyFont="1" applyFill="1" applyBorder="1" applyAlignment="1">
      <alignment horizontal="center" vertical="center"/>
    </xf>
    <xf numFmtId="166" fontId="31" fillId="0" borderId="1" xfId="3" applyNumberFormat="1" applyFont="1" applyFill="1" applyBorder="1" applyAlignment="1">
      <alignment horizontal="center" vertical="center"/>
    </xf>
    <xf numFmtId="41" fontId="21" fillId="3" borderId="1" xfId="2" applyFont="1" applyFill="1" applyBorder="1" applyAlignment="1">
      <alignment horizontal="center" vertical="center" textRotation="90" wrapText="1"/>
    </xf>
    <xf numFmtId="41" fontId="21" fillId="3" borderId="1" xfId="2" applyFont="1" applyFill="1" applyBorder="1" applyAlignment="1">
      <alignment horizontal="center" vertical="center"/>
    </xf>
    <xf numFmtId="41" fontId="32" fillId="0" borderId="1" xfId="2" applyFont="1" applyFill="1" applyBorder="1" applyAlignment="1">
      <alignment vertical="center"/>
    </xf>
    <xf numFmtId="41" fontId="31" fillId="0" borderId="1" xfId="2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4" borderId="4" xfId="0" applyFont="1" applyFill="1" applyBorder="1" applyAlignment="1">
      <alignment horizontal="center" vertical="center"/>
    </xf>
    <xf numFmtId="164" fontId="23" fillId="6" borderId="1" xfId="4" applyFont="1" applyFill="1" applyBorder="1"/>
    <xf numFmtId="0" fontId="23" fillId="6" borderId="1" xfId="0" applyFont="1" applyFill="1" applyBorder="1"/>
    <xf numFmtId="41" fontId="23" fillId="6" borderId="1" xfId="2" applyFont="1" applyFill="1" applyBorder="1"/>
    <xf numFmtId="166" fontId="23" fillId="6" borderId="1" xfId="1" applyNumberFormat="1" applyFont="1" applyFill="1" applyBorder="1" applyAlignment="1">
      <alignment horizontal="right"/>
    </xf>
    <xf numFmtId="41" fontId="23" fillId="6" borderId="1" xfId="0" applyNumberFormat="1" applyFont="1" applyFill="1" applyBorder="1"/>
    <xf numFmtId="164" fontId="23" fillId="6" borderId="1" xfId="0" applyNumberFormat="1" applyFont="1" applyFill="1" applyBorder="1"/>
    <xf numFmtId="0" fontId="26" fillId="6" borderId="0" xfId="0" applyFont="1" applyFill="1"/>
    <xf numFmtId="0" fontId="23" fillId="6" borderId="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/>
    </xf>
    <xf numFmtId="166" fontId="20" fillId="0" borderId="1" xfId="1" applyNumberFormat="1" applyFont="1" applyFill="1" applyBorder="1" applyAlignment="1">
      <alignment horizontal="right" vertical="center"/>
    </xf>
    <xf numFmtId="41" fontId="20" fillId="0" borderId="1" xfId="2" applyFont="1" applyFill="1" applyBorder="1" applyAlignment="1">
      <alignment horizontal="right" vertical="center"/>
    </xf>
    <xf numFmtId="41" fontId="0" fillId="0" borderId="1" xfId="2" applyFont="1" applyBorder="1" applyAlignment="1">
      <alignment vertical="center"/>
    </xf>
    <xf numFmtId="41" fontId="17" fillId="0" borderId="1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41" fontId="0" fillId="0" borderId="0" xfId="2" applyFont="1" applyBorder="1" applyAlignment="1">
      <alignment vertical="center"/>
    </xf>
    <xf numFmtId="164" fontId="20" fillId="0" borderId="1" xfId="4" applyFont="1" applyFill="1" applyBorder="1" applyAlignment="1">
      <alignment horizontal="right" vertical="center"/>
    </xf>
    <xf numFmtId="164" fontId="17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3" fillId="0" borderId="1" xfId="0" applyFont="1" applyBorder="1" applyAlignment="1">
      <alignment vertical="center"/>
    </xf>
    <xf numFmtId="41" fontId="31" fillId="0" borderId="1" xfId="2" applyFont="1" applyFill="1" applyBorder="1" applyAlignment="1">
      <alignment vertical="center"/>
    </xf>
    <xf numFmtId="41" fontId="31" fillId="0" borderId="1" xfId="2" applyFont="1" applyBorder="1" applyAlignment="1">
      <alignment vertical="center"/>
    </xf>
    <xf numFmtId="41" fontId="21" fillId="0" borderId="1" xfId="2" applyFont="1" applyFill="1" applyBorder="1" applyAlignment="1">
      <alignment vertical="center"/>
    </xf>
    <xf numFmtId="41" fontId="31" fillId="0" borderId="0" xfId="2" applyFont="1" applyAlignment="1">
      <alignment vertical="center"/>
    </xf>
    <xf numFmtId="41" fontId="31" fillId="0" borderId="0" xfId="2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164" fontId="31" fillId="0" borderId="1" xfId="4" applyFont="1" applyFill="1" applyBorder="1" applyAlignment="1">
      <alignment vertical="center"/>
    </xf>
    <xf numFmtId="164" fontId="21" fillId="0" borderId="1" xfId="0" applyNumberFormat="1" applyFont="1" applyBorder="1" applyAlignment="1">
      <alignment vertical="center"/>
    </xf>
    <xf numFmtId="0" fontId="31" fillId="0" borderId="0" xfId="0" applyFont="1" applyAlignment="1">
      <alignment vertical="center"/>
    </xf>
    <xf numFmtId="41" fontId="0" fillId="0" borderId="0" xfId="2" applyFont="1" applyAlignment="1">
      <alignment vertical="center"/>
    </xf>
    <xf numFmtId="0" fontId="17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64" fontId="20" fillId="0" borderId="1" xfId="4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17" fillId="2" borderId="1" xfId="0" applyNumberFormat="1" applyFont="1" applyFill="1" applyBorder="1" applyAlignment="1">
      <alignment horizontal="center" vertical="center"/>
    </xf>
    <xf numFmtId="164" fontId="20" fillId="0" borderId="0" xfId="0" applyNumberFormat="1" applyFont="1" applyAlignment="1">
      <alignment vertical="center"/>
    </xf>
    <xf numFmtId="164" fontId="17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41" fontId="17" fillId="3" borderId="1" xfId="2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166" fontId="13" fillId="0" borderId="0" xfId="1" applyNumberFormat="1" applyFont="1" applyFill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0" fontId="30" fillId="0" borderId="1" xfId="0" applyFont="1" applyBorder="1" applyAlignment="1">
      <alignment horizontal="center" vertical="center"/>
    </xf>
    <xf numFmtId="166" fontId="20" fillId="0" borderId="0" xfId="3" applyNumberFormat="1" applyFont="1" applyFill="1" applyBorder="1" applyAlignment="1">
      <alignment horizontal="center" vertical="center"/>
    </xf>
    <xf numFmtId="0" fontId="13" fillId="0" borderId="1" xfId="0" applyFont="1" applyBorder="1"/>
    <xf numFmtId="0" fontId="25" fillId="0" borderId="0" xfId="0" applyFont="1"/>
    <xf numFmtId="41" fontId="25" fillId="0" borderId="0" xfId="2" applyFont="1"/>
    <xf numFmtId="0" fontId="20" fillId="0" borderId="0" xfId="0" applyFont="1"/>
    <xf numFmtId="0" fontId="12" fillId="3" borderId="1" xfId="0" applyFont="1" applyFill="1" applyBorder="1" applyAlignment="1">
      <alignment horizontal="center" vertical="center"/>
    </xf>
    <xf numFmtId="167" fontId="12" fillId="3" borderId="1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center" vertical="center"/>
    </xf>
    <xf numFmtId="167" fontId="12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7" fontId="34" fillId="5" borderId="1" xfId="7" applyNumberFormat="1" applyFont="1" applyFill="1" applyBorder="1" applyAlignment="1">
      <alignment vertical="center" wrapText="1"/>
    </xf>
    <xf numFmtId="0" fontId="34" fillId="5" borderId="1" xfId="7" applyNumberFormat="1" applyFont="1" applyFill="1" applyBorder="1" applyAlignment="1">
      <alignment horizontal="center" vertical="center" wrapText="1"/>
    </xf>
    <xf numFmtId="167" fontId="13" fillId="5" borderId="1" xfId="0" applyNumberFormat="1" applyFont="1" applyFill="1" applyBorder="1" applyAlignment="1">
      <alignment horizontal="center" vertical="center"/>
    </xf>
    <xf numFmtId="167" fontId="13" fillId="0" borderId="1" xfId="0" applyNumberFormat="1" applyFont="1" applyBorder="1"/>
    <xf numFmtId="0" fontId="13" fillId="5" borderId="1" xfId="0" applyFont="1" applyFill="1" applyBorder="1" applyAlignment="1">
      <alignment horizontal="center"/>
    </xf>
    <xf numFmtId="0" fontId="34" fillId="5" borderId="1" xfId="7" applyNumberFormat="1" applyFont="1" applyFill="1" applyBorder="1" applyAlignment="1">
      <alignment horizontal="left" vertical="center"/>
    </xf>
    <xf numFmtId="0" fontId="34" fillId="5" borderId="1" xfId="7" applyNumberFormat="1" applyFont="1" applyFill="1" applyBorder="1" applyAlignment="1">
      <alignment vertical="center"/>
    </xf>
    <xf numFmtId="165" fontId="12" fillId="5" borderId="1" xfId="0" applyNumberFormat="1" applyFont="1" applyFill="1" applyBorder="1"/>
    <xf numFmtId="43" fontId="35" fillId="5" borderId="1" xfId="7" applyFont="1" applyFill="1" applyBorder="1" applyAlignment="1">
      <alignment horizontal="right" vertical="center"/>
    </xf>
    <xf numFmtId="167" fontId="13" fillId="5" borderId="1" xfId="0" applyNumberFormat="1" applyFont="1" applyFill="1" applyBorder="1"/>
    <xf numFmtId="167" fontId="12" fillId="3" borderId="1" xfId="0" applyNumberFormat="1" applyFont="1" applyFill="1" applyBorder="1"/>
    <xf numFmtId="0" fontId="31" fillId="0" borderId="0" xfId="0" applyFont="1"/>
    <xf numFmtId="0" fontId="34" fillId="5" borderId="5" xfId="7" applyNumberFormat="1" applyFont="1" applyFill="1" applyBorder="1" applyAlignment="1">
      <alignment horizontal="center" vertical="center" wrapText="1"/>
    </xf>
    <xf numFmtId="0" fontId="0" fillId="0" borderId="1" xfId="0" applyBorder="1"/>
    <xf numFmtId="41" fontId="0" fillId="0" borderId="1" xfId="2" applyFont="1" applyBorder="1"/>
    <xf numFmtId="41" fontId="0" fillId="0" borderId="1" xfId="0" applyNumberFormat="1" applyBorder="1"/>
    <xf numFmtId="0" fontId="36" fillId="0" borderId="0" xfId="0" applyFont="1"/>
    <xf numFmtId="0" fontId="21" fillId="0" borderId="1" xfId="0" applyFont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textRotation="90"/>
    </xf>
    <xf numFmtId="164" fontId="21" fillId="3" borderId="1" xfId="4" applyFont="1" applyFill="1" applyBorder="1" applyAlignment="1">
      <alignment horizontal="center" vertical="center" textRotation="90"/>
    </xf>
    <xf numFmtId="164" fontId="21" fillId="3" borderId="1" xfId="4" applyFont="1" applyFill="1" applyBorder="1" applyAlignment="1">
      <alignment horizontal="center" vertical="center" wrapText="1"/>
    </xf>
    <xf numFmtId="49" fontId="10" fillId="6" borderId="1" xfId="0" quotePrefix="1" applyNumberFormat="1" applyFont="1" applyFill="1" applyBorder="1" applyAlignment="1">
      <alignment horizontal="center"/>
    </xf>
    <xf numFmtId="166" fontId="23" fillId="6" borderId="1" xfId="3" applyNumberFormat="1" applyFont="1" applyFill="1" applyBorder="1" applyAlignment="1">
      <alignment horizontal="center" vertical="center"/>
    </xf>
    <xf numFmtId="0" fontId="39" fillId="6" borderId="1" xfId="0" applyFont="1" applyFill="1" applyBorder="1"/>
    <xf numFmtId="0" fontId="36" fillId="0" borderId="1" xfId="0" applyFont="1" applyBorder="1"/>
    <xf numFmtId="0" fontId="0" fillId="6" borderId="1" xfId="0" applyFill="1" applyBorder="1"/>
    <xf numFmtId="0" fontId="23" fillId="6" borderId="3" xfId="0" applyFont="1" applyFill="1" applyBorder="1" applyAlignment="1">
      <alignment horizontal="center"/>
    </xf>
    <xf numFmtId="0" fontId="20" fillId="0" borderId="0" xfId="0" applyFont="1" applyAlignment="1">
      <alignment horizontal="right" vertical="center"/>
    </xf>
    <xf numFmtId="166" fontId="20" fillId="0" borderId="0" xfId="1" applyNumberFormat="1" applyFont="1" applyFill="1" applyBorder="1" applyAlignment="1">
      <alignment horizontal="right" vertical="center"/>
    </xf>
    <xf numFmtId="41" fontId="20" fillId="0" borderId="0" xfId="2" applyFont="1" applyFill="1" applyBorder="1" applyAlignment="1">
      <alignment horizontal="right" vertical="center"/>
    </xf>
    <xf numFmtId="164" fontId="31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23" fillId="8" borderId="1" xfId="0" applyFont="1" applyFill="1" applyBorder="1"/>
    <xf numFmtId="0" fontId="23" fillId="9" borderId="1" xfId="0" applyFont="1" applyFill="1" applyBorder="1"/>
    <xf numFmtId="168" fontId="10" fillId="5" borderId="1" xfId="0" applyNumberFormat="1" applyFont="1" applyFill="1" applyBorder="1" applyAlignment="1">
      <alignment horizontal="center"/>
    </xf>
    <xf numFmtId="0" fontId="23" fillId="0" borderId="1" xfId="0" applyFont="1" applyBorder="1"/>
    <xf numFmtId="41" fontId="23" fillId="0" borderId="1" xfId="2" applyFont="1" applyFill="1" applyBorder="1"/>
    <xf numFmtId="164" fontId="23" fillId="0" borderId="1" xfId="4" applyFont="1" applyFill="1" applyBorder="1"/>
    <xf numFmtId="14" fontId="36" fillId="0" borderId="1" xfId="0" applyNumberFormat="1" applyFont="1" applyBorder="1" applyAlignment="1">
      <alignment horizontal="center"/>
    </xf>
    <xf numFmtId="41" fontId="36" fillId="0" borderId="0" xfId="2" applyFont="1" applyFill="1"/>
    <xf numFmtId="0" fontId="22" fillId="3" borderId="1" xfId="0" applyFont="1" applyFill="1" applyBorder="1" applyAlignment="1">
      <alignment horizontal="center" vertical="center" wrapText="1"/>
    </xf>
    <xf numFmtId="0" fontId="26" fillId="6" borderId="1" xfId="0" applyFont="1" applyFill="1" applyBorder="1"/>
    <xf numFmtId="0" fontId="26" fillId="0" borderId="1" xfId="0" applyFont="1" applyBorder="1"/>
    <xf numFmtId="41" fontId="26" fillId="0" borderId="1" xfId="2" applyFont="1" applyFill="1" applyBorder="1"/>
    <xf numFmtId="41" fontId="26" fillId="6" borderId="1" xfId="0" applyNumberFormat="1" applyFont="1" applyFill="1" applyBorder="1"/>
    <xf numFmtId="41" fontId="0" fillId="0" borderId="1" xfId="2" applyFont="1" applyFill="1" applyBorder="1"/>
    <xf numFmtId="41" fontId="36" fillId="0" borderId="1" xfId="0" applyNumberFormat="1" applyFont="1" applyBorder="1"/>
    <xf numFmtId="0" fontId="23" fillId="10" borderId="1" xfId="0" applyFont="1" applyFill="1" applyBorder="1"/>
    <xf numFmtId="0" fontId="41" fillId="0" borderId="1" xfId="0" applyFont="1" applyBorder="1"/>
    <xf numFmtId="0" fontId="41" fillId="0" borderId="1" xfId="0" applyFont="1" applyBorder="1" applyAlignment="1">
      <alignment horizontal="center"/>
    </xf>
    <xf numFmtId="0" fontId="40" fillId="0" borderId="1" xfId="0" applyFont="1" applyBorder="1"/>
    <xf numFmtId="0" fontId="42" fillId="0" borderId="1" xfId="0" applyFont="1" applyBorder="1"/>
    <xf numFmtId="1" fontId="19" fillId="0" borderId="1" xfId="0" applyNumberFormat="1" applyFont="1" applyBorder="1"/>
    <xf numFmtId="0" fontId="25" fillId="0" borderId="1" xfId="0" applyFont="1" applyBorder="1"/>
    <xf numFmtId="0" fontId="0" fillId="2" borderId="1" xfId="0" applyFill="1" applyBorder="1"/>
    <xf numFmtId="49" fontId="40" fillId="0" borderId="1" xfId="0" applyNumberFormat="1" applyFont="1" applyBorder="1"/>
    <xf numFmtId="41" fontId="0" fillId="0" borderId="1" xfId="2" applyFont="1" applyBorder="1" applyAlignment="1">
      <alignment horizontal="center" vertical="center"/>
    </xf>
    <xf numFmtId="0" fontId="43" fillId="3" borderId="1" xfId="0" applyFont="1" applyFill="1" applyBorder="1" applyAlignment="1">
      <alignment horizontal="center"/>
    </xf>
    <xf numFmtId="164" fontId="36" fillId="0" borderId="1" xfId="0" applyNumberFormat="1" applyFont="1" applyBorder="1"/>
    <xf numFmtId="164" fontId="36" fillId="0" borderId="0" xfId="0" applyNumberFormat="1" applyFont="1"/>
    <xf numFmtId="41" fontId="36" fillId="0" borderId="0" xfId="0" applyNumberFormat="1" applyFont="1"/>
    <xf numFmtId="0" fontId="31" fillId="0" borderId="0" xfId="0" applyFont="1" applyAlignment="1">
      <alignment horizontal="center" vertical="center"/>
    </xf>
    <xf numFmtId="164" fontId="31" fillId="0" borderId="0" xfId="4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2" borderId="0" xfId="0" applyNumberFormat="1" applyFill="1" applyAlignment="1">
      <alignment vertical="center"/>
    </xf>
    <xf numFmtId="0" fontId="12" fillId="0" borderId="0" xfId="0" applyFont="1" applyAlignment="1">
      <alignment vertical="center"/>
    </xf>
    <xf numFmtId="41" fontId="12" fillId="0" borderId="0" xfId="2" applyFont="1" applyAlignment="1">
      <alignment vertical="center"/>
    </xf>
    <xf numFmtId="0" fontId="31" fillId="0" borderId="0" xfId="0" applyFont="1" applyAlignment="1">
      <alignment horizontal="left" vertical="center" indent="2"/>
    </xf>
    <xf numFmtId="0" fontId="10" fillId="0" borderId="0" xfId="0" applyFont="1" applyAlignment="1">
      <alignment vertical="center"/>
    </xf>
    <xf numFmtId="41" fontId="10" fillId="0" borderId="0" xfId="2" applyFont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17" fillId="0" borderId="0" xfId="0" applyFont="1" applyAlignment="1">
      <alignment horizontal="left" vertical="center" indent="2"/>
    </xf>
    <xf numFmtId="0" fontId="25" fillId="0" borderId="0" xfId="0" applyFont="1" applyAlignment="1">
      <alignment horizontal="left"/>
    </xf>
    <xf numFmtId="41" fontId="26" fillId="10" borderId="1" xfId="2" applyFont="1" applyFill="1" applyBorder="1"/>
    <xf numFmtId="41" fontId="23" fillId="10" borderId="1" xfId="2" applyFont="1" applyFill="1" applyBorder="1"/>
    <xf numFmtId="0" fontId="26" fillId="10" borderId="0" xfId="0" applyFont="1" applyFill="1"/>
    <xf numFmtId="166" fontId="23" fillId="6" borderId="1" xfId="1" applyNumberFormat="1" applyFont="1" applyFill="1" applyBorder="1"/>
    <xf numFmtId="166" fontId="36" fillId="0" borderId="1" xfId="1" applyNumberFormat="1" applyFont="1" applyFill="1" applyBorder="1"/>
    <xf numFmtId="166" fontId="36" fillId="0" borderId="0" xfId="1" applyNumberFormat="1" applyFont="1" applyFill="1"/>
    <xf numFmtId="164" fontId="23" fillId="10" borderId="1" xfId="4" applyFont="1" applyFill="1" applyBorder="1"/>
    <xf numFmtId="164" fontId="38" fillId="10" borderId="1" xfId="4" applyFont="1" applyFill="1" applyBorder="1" applyAlignment="1">
      <alignment vertical="center"/>
    </xf>
    <xf numFmtId="43" fontId="36" fillId="0" borderId="0" xfId="1" applyFont="1" applyFill="1"/>
    <xf numFmtId="0" fontId="23" fillId="10" borderId="1" xfId="0" applyFont="1" applyFill="1" applyBorder="1" applyAlignment="1">
      <alignment horizontal="center" vertical="center" wrapText="1"/>
    </xf>
    <xf numFmtId="0" fontId="23" fillId="10" borderId="3" xfId="0" applyFont="1" applyFill="1" applyBorder="1"/>
    <xf numFmtId="49" fontId="29" fillId="10" borderId="1" xfId="0" quotePrefix="1" applyNumberFormat="1" applyFont="1" applyFill="1" applyBorder="1" applyAlignment="1">
      <alignment horizontal="center" vertical="center"/>
    </xf>
    <xf numFmtId="14" fontId="10" fillId="10" borderId="1" xfId="0" applyNumberFormat="1" applyFont="1" applyFill="1" applyBorder="1" applyAlignment="1">
      <alignment horizontal="center" vertical="center"/>
    </xf>
    <xf numFmtId="166" fontId="23" fillId="10" borderId="1" xfId="1" applyNumberFormat="1" applyFont="1" applyFill="1" applyBorder="1" applyAlignment="1">
      <alignment horizontal="right"/>
    </xf>
    <xf numFmtId="166" fontId="23" fillId="10" borderId="1" xfId="1" applyNumberFormat="1" applyFont="1" applyFill="1" applyBorder="1"/>
    <xf numFmtId="166" fontId="23" fillId="10" borderId="1" xfId="0" applyNumberFormat="1" applyFont="1" applyFill="1" applyBorder="1"/>
    <xf numFmtId="41" fontId="23" fillId="10" borderId="1" xfId="0" applyNumberFormat="1" applyFont="1" applyFill="1" applyBorder="1"/>
    <xf numFmtId="164" fontId="23" fillId="10" borderId="1" xfId="0" applyNumberFormat="1" applyFont="1" applyFill="1" applyBorder="1"/>
    <xf numFmtId="0" fontId="26" fillId="10" borderId="1" xfId="0" applyFont="1" applyFill="1" applyBorder="1"/>
    <xf numFmtId="41" fontId="26" fillId="10" borderId="1" xfId="0" applyNumberFormat="1" applyFont="1" applyFill="1" applyBorder="1"/>
    <xf numFmtId="0" fontId="31" fillId="10" borderId="1" xfId="0" applyFont="1" applyFill="1" applyBorder="1"/>
    <xf numFmtId="14" fontId="31" fillId="10" borderId="1" xfId="0" applyNumberFormat="1" applyFont="1" applyFill="1" applyBorder="1" applyAlignment="1">
      <alignment horizontal="center"/>
    </xf>
    <xf numFmtId="0" fontId="36" fillId="10" borderId="1" xfId="0" applyFont="1" applyFill="1" applyBorder="1"/>
    <xf numFmtId="0" fontId="0" fillId="10" borderId="1" xfId="0" applyFill="1" applyBorder="1"/>
    <xf numFmtId="14" fontId="23" fillId="10" borderId="1" xfId="0" applyNumberFormat="1" applyFont="1" applyFill="1" applyBorder="1" applyAlignment="1">
      <alignment horizontal="center"/>
    </xf>
    <xf numFmtId="166" fontId="23" fillId="10" borderId="2" xfId="1" applyNumberFormat="1" applyFont="1" applyFill="1" applyBorder="1"/>
    <xf numFmtId="166" fontId="23" fillId="10" borderId="1" xfId="3" applyNumberFormat="1" applyFont="1" applyFill="1" applyBorder="1" applyAlignment="1">
      <alignment horizontal="center" vertical="center"/>
    </xf>
    <xf numFmtId="0" fontId="39" fillId="10" borderId="1" xfId="0" applyFont="1" applyFill="1" applyBorder="1"/>
    <xf numFmtId="0" fontId="23" fillId="10" borderId="4" xfId="0" applyFont="1" applyFill="1" applyBorder="1"/>
    <xf numFmtId="41" fontId="23" fillId="10" borderId="4" xfId="2" applyFont="1" applyFill="1" applyBorder="1"/>
    <xf numFmtId="0" fontId="40" fillId="10" borderId="1" xfId="0" applyFont="1" applyFill="1" applyBorder="1"/>
    <xf numFmtId="14" fontId="23" fillId="10" borderId="4" xfId="0" applyNumberFormat="1" applyFont="1" applyFill="1" applyBorder="1" applyAlignment="1">
      <alignment horizontal="center"/>
    </xf>
    <xf numFmtId="0" fontId="39" fillId="10" borderId="4" xfId="0" applyFont="1" applyFill="1" applyBorder="1"/>
    <xf numFmtId="49" fontId="10" fillId="10" borderId="3" xfId="0" quotePrefix="1" applyNumberFormat="1" applyFont="1" applyFill="1" applyBorder="1" applyAlignment="1">
      <alignment horizontal="center"/>
    </xf>
    <xf numFmtId="14" fontId="10" fillId="10" borderId="1" xfId="0" applyNumberFormat="1" applyFont="1" applyFill="1" applyBorder="1" applyAlignment="1">
      <alignment horizontal="center"/>
    </xf>
    <xf numFmtId="0" fontId="23" fillId="8" borderId="4" xfId="0" applyFont="1" applyFill="1" applyBorder="1"/>
    <xf numFmtId="164" fontId="23" fillId="8" borderId="1" xfId="4" applyFont="1" applyFill="1" applyBorder="1"/>
    <xf numFmtId="164" fontId="38" fillId="8" borderId="1" xfId="4" applyFont="1" applyFill="1" applyBorder="1" applyAlignment="1">
      <alignment vertical="center"/>
    </xf>
    <xf numFmtId="166" fontId="23" fillId="3" borderId="1" xfId="1" applyNumberFormat="1" applyFont="1" applyFill="1" applyBorder="1"/>
    <xf numFmtId="41" fontId="33" fillId="7" borderId="0" xfId="0" applyNumberFormat="1" applyFont="1" applyFill="1" applyAlignment="1">
      <alignment horizontal="right" vertical="center"/>
    </xf>
    <xf numFmtId="0" fontId="31" fillId="0" borderId="9" xfId="0" applyFont="1" applyBorder="1"/>
    <xf numFmtId="0" fontId="31" fillId="0" borderId="10" xfId="0" applyFont="1" applyBorder="1"/>
    <xf numFmtId="0" fontId="31" fillId="0" borderId="11" xfId="0" applyFont="1" applyBorder="1"/>
    <xf numFmtId="0" fontId="21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textRotation="90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textRotation="90"/>
    </xf>
    <xf numFmtId="164" fontId="21" fillId="0" borderId="1" xfId="4" applyFont="1" applyFill="1" applyBorder="1" applyAlignment="1">
      <alignment horizontal="center" vertical="center" textRotation="90"/>
    </xf>
    <xf numFmtId="164" fontId="21" fillId="0" borderId="1" xfId="4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31" fillId="0" borderId="12" xfId="0" applyFont="1" applyBorder="1"/>
    <xf numFmtId="0" fontId="21" fillId="0" borderId="13" xfId="0" applyFont="1" applyBorder="1" applyAlignment="1">
      <alignment horizontal="center"/>
    </xf>
    <xf numFmtId="0" fontId="44" fillId="0" borderId="13" xfId="0" applyFont="1" applyBorder="1" applyAlignment="1">
      <alignment horizontal="center"/>
    </xf>
    <xf numFmtId="0" fontId="31" fillId="0" borderId="13" xfId="0" applyFont="1" applyBorder="1"/>
    <xf numFmtId="0" fontId="31" fillId="0" borderId="12" xfId="0" applyFont="1" applyBorder="1" applyAlignment="1">
      <alignment horizontal="left"/>
    </xf>
    <xf numFmtId="0" fontId="21" fillId="0" borderId="12" xfId="0" applyFont="1" applyBorder="1"/>
    <xf numFmtId="0" fontId="31" fillId="4" borderId="14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45" fillId="4" borderId="2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 wrapText="1"/>
    </xf>
    <xf numFmtId="3" fontId="21" fillId="4" borderId="15" xfId="0" applyNumberFormat="1" applyFont="1" applyFill="1" applyBorder="1" applyAlignment="1">
      <alignment horizontal="center" vertical="center" wrapText="1"/>
    </xf>
    <xf numFmtId="0" fontId="31" fillId="0" borderId="14" xfId="0" applyFont="1" applyBorder="1" applyAlignment="1">
      <alignment horizontal="center"/>
    </xf>
    <xf numFmtId="0" fontId="31" fillId="0" borderId="3" xfId="0" applyFont="1" applyBorder="1" applyAlignment="1">
      <alignment horizontal="left"/>
    </xf>
    <xf numFmtId="0" fontId="31" fillId="0" borderId="6" xfId="0" applyFont="1" applyBorder="1" applyAlignment="1">
      <alignment horizontal="left"/>
    </xf>
    <xf numFmtId="0" fontId="31" fillId="0" borderId="2" xfId="0" applyFont="1" applyBorder="1" applyAlignment="1">
      <alignment horizontal="left"/>
    </xf>
    <xf numFmtId="3" fontId="31" fillId="0" borderId="1" xfId="0" applyNumberFormat="1" applyFont="1" applyBorder="1" applyAlignment="1">
      <alignment horizontal="center"/>
    </xf>
    <xf numFmtId="166" fontId="42" fillId="0" borderId="1" xfId="1" applyNumberFormat="1" applyFont="1" applyBorder="1" applyAlignment="1">
      <alignment horizontal="center"/>
    </xf>
    <xf numFmtId="41" fontId="42" fillId="0" borderId="1" xfId="2" applyFont="1" applyBorder="1" applyAlignment="1">
      <alignment horizontal="center"/>
    </xf>
    <xf numFmtId="3" fontId="31" fillId="5" borderId="15" xfId="0" applyNumberFormat="1" applyFont="1" applyFill="1" applyBorder="1"/>
    <xf numFmtId="3" fontId="31" fillId="0" borderId="1" xfId="0" applyNumberFormat="1" applyFont="1" applyBorder="1"/>
    <xf numFmtId="0" fontId="31" fillId="0" borderId="8" xfId="0" applyFont="1" applyBorder="1" applyAlignment="1">
      <alignment horizontal="left"/>
    </xf>
    <xf numFmtId="0" fontId="31" fillId="0" borderId="16" xfId="0" applyFont="1" applyBorder="1" applyAlignment="1">
      <alignment horizontal="left"/>
    </xf>
    <xf numFmtId="0" fontId="31" fillId="0" borderId="5" xfId="0" applyFont="1" applyBorder="1" applyAlignment="1">
      <alignment horizontal="left"/>
    </xf>
    <xf numFmtId="3" fontId="31" fillId="0" borderId="2" xfId="0" applyNumberFormat="1" applyFont="1" applyBorder="1" applyAlignment="1">
      <alignment horizontal="center"/>
    </xf>
    <xf numFmtId="3" fontId="21" fillId="0" borderId="18" xfId="0" applyNumberFormat="1" applyFont="1" applyBorder="1" applyAlignment="1">
      <alignment horizontal="center"/>
    </xf>
    <xf numFmtId="3" fontId="21" fillId="0" borderId="6" xfId="0" applyNumberFormat="1" applyFont="1" applyBorder="1" applyAlignment="1">
      <alignment horizontal="center"/>
    </xf>
    <xf numFmtId="3" fontId="21" fillId="0" borderId="2" xfId="0" applyNumberFormat="1" applyFont="1" applyBorder="1" applyAlignment="1">
      <alignment horizontal="center"/>
    </xf>
    <xf numFmtId="3" fontId="21" fillId="5" borderId="15" xfId="0" applyNumberFormat="1" applyFont="1" applyFill="1" applyBorder="1"/>
    <xf numFmtId="3" fontId="31" fillId="0" borderId="3" xfId="0" applyNumberFormat="1" applyFont="1" applyBorder="1" applyAlignment="1">
      <alignment horizontal="left"/>
    </xf>
    <xf numFmtId="3" fontId="21" fillId="0" borderId="1" xfId="0" applyNumberFormat="1" applyFont="1" applyBorder="1" applyAlignment="1">
      <alignment horizontal="center"/>
    </xf>
    <xf numFmtId="3" fontId="31" fillId="0" borderId="19" xfId="0" applyNumberFormat="1" applyFont="1" applyBorder="1" applyAlignment="1">
      <alignment horizontal="left"/>
    </xf>
    <xf numFmtId="3" fontId="21" fillId="0" borderId="20" xfId="0" applyNumberFormat="1" applyFont="1" applyBorder="1" applyAlignment="1">
      <alignment horizontal="center"/>
    </xf>
    <xf numFmtId="3" fontId="31" fillId="0" borderId="6" xfId="0" applyNumberFormat="1" applyFont="1" applyBorder="1" applyAlignment="1">
      <alignment horizontal="left"/>
    </xf>
    <xf numFmtId="3" fontId="31" fillId="0" borderId="2" xfId="0" applyNumberFormat="1" applyFont="1" applyBorder="1" applyAlignment="1">
      <alignment horizontal="left"/>
    </xf>
    <xf numFmtId="41" fontId="42" fillId="0" borderId="13" xfId="2" applyFont="1" applyBorder="1"/>
    <xf numFmtId="0" fontId="42" fillId="0" borderId="12" xfId="0" applyFont="1" applyBorder="1"/>
    <xf numFmtId="0" fontId="46" fillId="0" borderId="13" xfId="0" applyFont="1" applyBorder="1" applyAlignment="1">
      <alignment horizontal="left" vertical="top" wrapText="1"/>
    </xf>
    <xf numFmtId="0" fontId="31" fillId="0" borderId="13" xfId="0" applyFont="1" applyBorder="1" applyAlignment="1">
      <alignment horizontal="left" vertical="top"/>
    </xf>
    <xf numFmtId="0" fontId="31" fillId="0" borderId="21" xfId="0" applyFont="1" applyBorder="1"/>
    <xf numFmtId="0" fontId="31" fillId="0" borderId="22" xfId="0" applyFont="1" applyBorder="1"/>
    <xf numFmtId="0" fontId="31" fillId="0" borderId="22" xfId="0" applyFont="1" applyBorder="1" applyAlignment="1">
      <alignment horizontal="left" vertical="top"/>
    </xf>
    <xf numFmtId="0" fontId="31" fillId="0" borderId="23" xfId="0" applyFont="1" applyBorder="1" applyAlignment="1">
      <alignment horizontal="left" vertical="top"/>
    </xf>
    <xf numFmtId="0" fontId="21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quotePrefix="1" applyFont="1" applyAlignment="1">
      <alignment horizontal="left"/>
    </xf>
    <xf numFmtId="0" fontId="21" fillId="2" borderId="0" xfId="0" applyFont="1" applyFill="1"/>
    <xf numFmtId="0" fontId="31" fillId="2" borderId="0" xfId="0" applyFont="1" applyFill="1"/>
    <xf numFmtId="17" fontId="31" fillId="0" borderId="0" xfId="0" applyNumberFormat="1" applyFont="1" applyAlignment="1">
      <alignment horizontal="left"/>
    </xf>
    <xf numFmtId="3" fontId="31" fillId="0" borderId="0" xfId="0" applyNumberFormat="1" applyFont="1"/>
    <xf numFmtId="3" fontId="31" fillId="0" borderId="14" xfId="0" applyNumberFormat="1" applyFont="1" applyBorder="1" applyAlignment="1">
      <alignment horizontal="center"/>
    </xf>
    <xf numFmtId="0" fontId="31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0" fontId="17" fillId="0" borderId="0" xfId="0" applyFont="1" applyAlignment="1">
      <alignment horizontal="right" vertical="center"/>
    </xf>
    <xf numFmtId="43" fontId="36" fillId="0" borderId="0" xfId="1" applyFont="1"/>
    <xf numFmtId="43" fontId="36" fillId="0" borderId="0" xfId="0" applyNumberFormat="1" applyFont="1"/>
    <xf numFmtId="17" fontId="17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 indent="2"/>
    </xf>
    <xf numFmtId="0" fontId="19" fillId="9" borderId="4" xfId="6" applyFont="1" applyFill="1" applyBorder="1" applyAlignment="1">
      <alignment horizontal="center" vertical="center"/>
    </xf>
    <xf numFmtId="0" fontId="19" fillId="9" borderId="24" xfId="6" applyFont="1" applyFill="1" applyBorder="1" applyAlignment="1">
      <alignment horizontal="left" vertical="center"/>
    </xf>
    <xf numFmtId="0" fontId="19" fillId="9" borderId="1" xfId="6" applyFont="1" applyFill="1" applyBorder="1" applyAlignment="1">
      <alignment horizontal="left" vertical="center"/>
    </xf>
    <xf numFmtId="0" fontId="19" fillId="9" borderId="4" xfId="6" applyFont="1" applyFill="1" applyBorder="1" applyAlignment="1">
      <alignment horizontal="left" vertical="center"/>
    </xf>
    <xf numFmtId="0" fontId="19" fillId="9" borderId="1" xfId="0" applyFont="1" applyFill="1" applyBorder="1" applyAlignment="1">
      <alignment vertical="center"/>
    </xf>
    <xf numFmtId="0" fontId="47" fillId="9" borderId="1" xfId="6" applyFont="1" applyFill="1" applyBorder="1" applyAlignment="1">
      <alignment vertical="center" wrapText="1"/>
    </xf>
    <xf numFmtId="0" fontId="19" fillId="9" borderId="1" xfId="0" applyFont="1" applyFill="1" applyBorder="1"/>
    <xf numFmtId="0" fontId="23" fillId="0" borderId="0" xfId="0" applyFont="1" applyAlignment="1">
      <alignment vertical="center"/>
    </xf>
    <xf numFmtId="41" fontId="32" fillId="0" borderId="0" xfId="2" applyFont="1" applyFill="1" applyBorder="1" applyAlignment="1">
      <alignment vertical="center"/>
    </xf>
    <xf numFmtId="41" fontId="31" fillId="0" borderId="0" xfId="2" applyFont="1" applyFill="1" applyBorder="1" applyAlignment="1">
      <alignment vertical="center"/>
    </xf>
    <xf numFmtId="41" fontId="31" fillId="0" borderId="0" xfId="2" applyFont="1" applyBorder="1" applyAlignment="1">
      <alignment vertical="center"/>
    </xf>
    <xf numFmtId="41" fontId="21" fillId="0" borderId="0" xfId="2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41" fontId="20" fillId="0" borderId="0" xfId="2" applyFont="1" applyFill="1" applyBorder="1" applyAlignment="1">
      <alignment horizontal="center" vertical="center"/>
    </xf>
    <xf numFmtId="164" fontId="20" fillId="0" borderId="0" xfId="4" applyFont="1" applyFill="1" applyBorder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166" fontId="0" fillId="0" borderId="1" xfId="1" applyNumberFormat="1" applyFont="1" applyBorder="1"/>
    <xf numFmtId="0" fontId="0" fillId="0" borderId="1" xfId="0" applyBorder="1" applyAlignment="1">
      <alignment horizontal="center"/>
    </xf>
    <xf numFmtId="166" fontId="0" fillId="0" borderId="1" xfId="1" applyNumberFormat="1" applyFont="1" applyFill="1" applyBorder="1"/>
    <xf numFmtId="166" fontId="0" fillId="0" borderId="0" xfId="1" applyNumberFormat="1" applyFont="1"/>
    <xf numFmtId="166" fontId="0" fillId="0" borderId="0" xfId="0" applyNumberFormat="1"/>
    <xf numFmtId="3" fontId="31" fillId="0" borderId="15" xfId="0" applyNumberFormat="1" applyFont="1" applyBorder="1"/>
    <xf numFmtId="0" fontId="23" fillId="12" borderId="1" xfId="0" applyFont="1" applyFill="1" applyBorder="1" applyAlignment="1">
      <alignment horizontal="center" vertical="center" wrapText="1"/>
    </xf>
    <xf numFmtId="14" fontId="8" fillId="12" borderId="1" xfId="0" applyNumberFormat="1" applyFont="1" applyFill="1" applyBorder="1" applyAlignment="1">
      <alignment horizontal="center"/>
    </xf>
    <xf numFmtId="166" fontId="27" fillId="12" borderId="1" xfId="1" applyNumberFormat="1" applyFont="1" applyFill="1" applyBorder="1" applyAlignment="1">
      <alignment horizontal="right"/>
    </xf>
    <xf numFmtId="166" fontId="23" fillId="12" borderId="1" xfId="1" applyNumberFormat="1" applyFont="1" applyFill="1" applyBorder="1" applyAlignment="1">
      <alignment horizontal="right"/>
    </xf>
    <xf numFmtId="164" fontId="23" fillId="12" borderId="1" xfId="0" applyNumberFormat="1" applyFont="1" applyFill="1" applyBorder="1"/>
    <xf numFmtId="0" fontId="23" fillId="12" borderId="1" xfId="0" applyFont="1" applyFill="1" applyBorder="1"/>
    <xf numFmtId="41" fontId="23" fillId="12" borderId="1" xfId="2" applyFont="1" applyFill="1" applyBorder="1"/>
    <xf numFmtId="41" fontId="23" fillId="12" borderId="1" xfId="0" applyNumberFormat="1" applyFont="1" applyFill="1" applyBorder="1"/>
    <xf numFmtId="166" fontId="23" fillId="12" borderId="1" xfId="0" applyNumberFormat="1" applyFont="1" applyFill="1" applyBorder="1"/>
    <xf numFmtId="164" fontId="23" fillId="12" borderId="1" xfId="4" applyFont="1" applyFill="1" applyBorder="1"/>
    <xf numFmtId="0" fontId="26" fillId="12" borderId="1" xfId="0" applyFont="1" applyFill="1" applyBorder="1"/>
    <xf numFmtId="41" fontId="26" fillId="12" borderId="1" xfId="0" applyNumberFormat="1" applyFont="1" applyFill="1" applyBorder="1"/>
    <xf numFmtId="0" fontId="26" fillId="12" borderId="0" xfId="0" applyFont="1" applyFill="1"/>
    <xf numFmtId="166" fontId="23" fillId="11" borderId="1" xfId="1" applyNumberFormat="1" applyFont="1" applyFill="1" applyBorder="1" applyAlignment="1">
      <alignment vertical="center"/>
    </xf>
    <xf numFmtId="0" fontId="23" fillId="11" borderId="1" xfId="0" applyFont="1" applyFill="1" applyBorder="1"/>
    <xf numFmtId="41" fontId="23" fillId="11" borderId="1" xfId="0" applyNumberFormat="1" applyFont="1" applyFill="1" applyBorder="1"/>
    <xf numFmtId="166" fontId="23" fillId="11" borderId="2" xfId="1" applyNumberFormat="1" applyFont="1" applyFill="1" applyBorder="1" applyAlignment="1">
      <alignment horizontal="right"/>
    </xf>
    <xf numFmtId="0" fontId="3" fillId="0" borderId="0" xfId="0" applyFont="1" applyAlignment="1">
      <alignment horizontal="left" vertical="center" indent="2"/>
    </xf>
    <xf numFmtId="0" fontId="23" fillId="13" borderId="1" xfId="0" applyFont="1" applyFill="1" applyBorder="1" applyAlignment="1">
      <alignment horizontal="center" vertical="center" wrapText="1"/>
    </xf>
    <xf numFmtId="0" fontId="23" fillId="13" borderId="3" xfId="0" applyFont="1" applyFill="1" applyBorder="1" applyAlignment="1">
      <alignment horizontal="center" vertical="center" wrapText="1"/>
    </xf>
    <xf numFmtId="0" fontId="23" fillId="13" borderId="3" xfId="0" applyFont="1" applyFill="1" applyBorder="1" applyAlignment="1">
      <alignment horizontal="left" vertical="center" wrapText="1"/>
    </xf>
    <xf numFmtId="49" fontId="29" fillId="13" borderId="1" xfId="0" quotePrefix="1" applyNumberFormat="1" applyFont="1" applyFill="1" applyBorder="1" applyAlignment="1">
      <alignment horizontal="center" vertical="center"/>
    </xf>
    <xf numFmtId="0" fontId="23" fillId="13" borderId="1" xfId="0" applyFont="1" applyFill="1" applyBorder="1"/>
    <xf numFmtId="14" fontId="10" fillId="13" borderId="1" xfId="0" applyNumberFormat="1" applyFont="1" applyFill="1" applyBorder="1" applyAlignment="1">
      <alignment horizontal="center" vertical="center"/>
    </xf>
    <xf numFmtId="164" fontId="23" fillId="13" borderId="1" xfId="4" applyFont="1" applyFill="1" applyBorder="1"/>
    <xf numFmtId="166" fontId="23" fillId="13" borderId="1" xfId="1" applyNumberFormat="1" applyFont="1" applyFill="1" applyBorder="1"/>
    <xf numFmtId="41" fontId="23" fillId="13" borderId="1" xfId="2" applyFont="1" applyFill="1" applyBorder="1"/>
    <xf numFmtId="41" fontId="23" fillId="13" borderId="1" xfId="0" applyNumberFormat="1" applyFont="1" applyFill="1" applyBorder="1"/>
    <xf numFmtId="164" fontId="23" fillId="13" borderId="1" xfId="0" applyNumberFormat="1" applyFont="1" applyFill="1" applyBorder="1"/>
    <xf numFmtId="0" fontId="26" fillId="13" borderId="1" xfId="0" applyFont="1" applyFill="1" applyBorder="1"/>
    <xf numFmtId="41" fontId="26" fillId="13" borderId="1" xfId="0" applyNumberFormat="1" applyFont="1" applyFill="1" applyBorder="1"/>
    <xf numFmtId="0" fontId="26" fillId="13" borderId="0" xfId="0" applyFont="1" applyFill="1"/>
    <xf numFmtId="49" fontId="20" fillId="13" borderId="3" xfId="0" quotePrefix="1" applyNumberFormat="1" applyFont="1" applyFill="1" applyBorder="1" applyAlignment="1">
      <alignment horizontal="center"/>
    </xf>
    <xf numFmtId="14" fontId="10" fillId="13" borderId="1" xfId="0" applyNumberFormat="1" applyFont="1" applyFill="1" applyBorder="1" applyAlignment="1">
      <alignment horizontal="center"/>
    </xf>
    <xf numFmtId="0" fontId="23" fillId="13" borderId="3" xfId="0" applyFont="1" applyFill="1" applyBorder="1"/>
    <xf numFmtId="49" fontId="20" fillId="13" borderId="1" xfId="0" quotePrefix="1" applyNumberFormat="1" applyFont="1" applyFill="1" applyBorder="1" applyAlignment="1">
      <alignment horizontal="center"/>
    </xf>
    <xf numFmtId="49" fontId="20" fillId="13" borderId="2" xfId="6" quotePrefix="1" applyNumberFormat="1" applyFont="1" applyFill="1" applyBorder="1" applyAlignment="1">
      <alignment horizontal="center"/>
    </xf>
    <xf numFmtId="14" fontId="10" fillId="13" borderId="1" xfId="8" applyNumberFormat="1" applyFill="1" applyBorder="1" applyAlignment="1">
      <alignment horizontal="center"/>
    </xf>
    <xf numFmtId="0" fontId="23" fillId="10" borderId="7" xfId="0" applyFont="1" applyFill="1" applyBorder="1"/>
    <xf numFmtId="49" fontId="29" fillId="10" borderId="3" xfId="0" quotePrefix="1" applyNumberFormat="1" applyFont="1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166" fontId="31" fillId="10" borderId="1" xfId="1" applyNumberFormat="1" applyFont="1" applyFill="1" applyBorder="1" applyAlignment="1">
      <alignment horizontal="right"/>
    </xf>
    <xf numFmtId="43" fontId="23" fillId="10" borderId="1" xfId="0" applyNumberFormat="1" applyFont="1" applyFill="1" applyBorder="1"/>
    <xf numFmtId="166" fontId="23" fillId="11" borderId="1" xfId="1" applyNumberFormat="1" applyFont="1" applyFill="1" applyBorder="1"/>
    <xf numFmtId="0" fontId="23" fillId="3" borderId="3" xfId="0" applyFont="1" applyFill="1" applyBorder="1" applyAlignment="1">
      <alignment horizontal="center" vertical="center" wrapText="1"/>
    </xf>
    <xf numFmtId="166" fontId="31" fillId="3" borderId="1" xfId="1" applyNumberFormat="1" applyFont="1" applyFill="1" applyBorder="1" applyAlignment="1">
      <alignment horizontal="right"/>
    </xf>
    <xf numFmtId="164" fontId="23" fillId="3" borderId="1" xfId="0" applyNumberFormat="1" applyFont="1" applyFill="1" applyBorder="1"/>
    <xf numFmtId="0" fontId="23" fillId="3" borderId="1" xfId="0" applyFont="1" applyFill="1" applyBorder="1"/>
    <xf numFmtId="41" fontId="23" fillId="3" borderId="1" xfId="2" applyFont="1" applyFill="1" applyBorder="1"/>
    <xf numFmtId="41" fontId="23" fillId="3" borderId="1" xfId="0" applyNumberFormat="1" applyFont="1" applyFill="1" applyBorder="1"/>
    <xf numFmtId="166" fontId="31" fillId="3" borderId="1" xfId="0" applyNumberFormat="1" applyFont="1" applyFill="1" applyBorder="1"/>
    <xf numFmtId="164" fontId="23" fillId="3" borderId="1" xfId="4" applyFont="1" applyFill="1" applyBorder="1"/>
    <xf numFmtId="0" fontId="26" fillId="3" borderId="1" xfId="0" applyFont="1" applyFill="1" applyBorder="1"/>
    <xf numFmtId="41" fontId="26" fillId="3" borderId="1" xfId="0" applyNumberFormat="1" applyFont="1" applyFill="1" applyBorder="1"/>
    <xf numFmtId="166" fontId="23" fillId="3" borderId="1" xfId="1" applyNumberFormat="1" applyFont="1" applyFill="1" applyBorder="1" applyAlignment="1">
      <alignment horizontal="right"/>
    </xf>
    <xf numFmtId="49" fontId="29" fillId="3" borderId="1" xfId="0" quotePrefix="1" applyNumberFormat="1" applyFont="1" applyFill="1" applyBorder="1" applyAlignment="1">
      <alignment horizontal="center" vertical="center"/>
    </xf>
    <xf numFmtId="166" fontId="23" fillId="3" borderId="1" xfId="0" applyNumberFormat="1" applyFont="1" applyFill="1" applyBorder="1"/>
    <xf numFmtId="0" fontId="23" fillId="3" borderId="1" xfId="0" applyFont="1" applyFill="1" applyBorder="1" applyAlignment="1">
      <alignment horizontal="center" vertical="center" wrapText="1"/>
    </xf>
    <xf numFmtId="0" fontId="26" fillId="3" borderId="0" xfId="0" applyFont="1" applyFill="1"/>
    <xf numFmtId="14" fontId="10" fillId="3" borderId="1" xfId="8" applyNumberFormat="1" applyFill="1" applyBorder="1" applyAlignment="1">
      <alignment horizontal="center"/>
    </xf>
    <xf numFmtId="0" fontId="23" fillId="3" borderId="3" xfId="0" applyFont="1" applyFill="1" applyBorder="1"/>
    <xf numFmtId="14" fontId="2" fillId="3" borderId="1" xfId="0" applyNumberFormat="1" applyFont="1" applyFill="1" applyBorder="1" applyAlignment="1">
      <alignment horizontal="center" vertical="center"/>
    </xf>
    <xf numFmtId="43" fontId="23" fillId="3" borderId="1" xfId="0" applyNumberFormat="1" applyFont="1" applyFill="1" applyBorder="1"/>
    <xf numFmtId="14" fontId="10" fillId="3" borderId="1" xfId="0" applyNumberFormat="1" applyFont="1" applyFill="1" applyBorder="1" applyAlignment="1">
      <alignment horizontal="center"/>
    </xf>
    <xf numFmtId="49" fontId="10" fillId="3" borderId="3" xfId="0" quotePrefix="1" applyNumberFormat="1" applyFont="1" applyFill="1" applyBorder="1" applyAlignment="1">
      <alignment horizontal="center"/>
    </xf>
    <xf numFmtId="49" fontId="10" fillId="3" borderId="1" xfId="0" quotePrefix="1" applyNumberFormat="1" applyFont="1" applyFill="1" applyBorder="1" applyAlignment="1">
      <alignment horizontal="center"/>
    </xf>
    <xf numFmtId="0" fontId="31" fillId="12" borderId="1" xfId="0" applyFont="1" applyFill="1" applyBorder="1" applyAlignment="1">
      <alignment horizontal="center" vertical="center" wrapText="1"/>
    </xf>
    <xf numFmtId="0" fontId="23" fillId="12" borderId="3" xfId="0" applyFont="1" applyFill="1" applyBorder="1" applyAlignment="1">
      <alignment horizontal="center" vertical="center" wrapText="1"/>
    </xf>
    <xf numFmtId="0" fontId="31" fillId="12" borderId="1" xfId="0" applyFont="1" applyFill="1" applyBorder="1"/>
    <xf numFmtId="49" fontId="37" fillId="12" borderId="2" xfId="0" quotePrefix="1" applyNumberFormat="1" applyFont="1" applyFill="1" applyBorder="1" applyAlignment="1">
      <alignment horizontal="center" vertical="center"/>
    </xf>
    <xf numFmtId="166" fontId="31" fillId="12" borderId="1" xfId="1" applyNumberFormat="1" applyFont="1" applyFill="1" applyBorder="1" applyAlignment="1">
      <alignment horizontal="right"/>
    </xf>
    <xf numFmtId="164" fontId="31" fillId="12" borderId="1" xfId="4" applyFont="1" applyFill="1" applyBorder="1"/>
    <xf numFmtId="41" fontId="31" fillId="12" borderId="1" xfId="2" applyFont="1" applyFill="1" applyBorder="1"/>
    <xf numFmtId="41" fontId="31" fillId="12" borderId="1" xfId="0" applyNumberFormat="1" applyFont="1" applyFill="1" applyBorder="1"/>
    <xf numFmtId="166" fontId="31" fillId="12" borderId="1" xfId="0" applyNumberFormat="1" applyFont="1" applyFill="1" applyBorder="1"/>
    <xf numFmtId="0" fontId="36" fillId="12" borderId="0" xfId="0" applyFont="1" applyFill="1"/>
    <xf numFmtId="0" fontId="0" fillId="12" borderId="1" xfId="0" applyFill="1" applyBorder="1"/>
    <xf numFmtId="49" fontId="8" fillId="12" borderId="3" xfId="0" quotePrefix="1" applyNumberFormat="1" applyFont="1" applyFill="1" applyBorder="1" applyAlignment="1">
      <alignment horizontal="center"/>
    </xf>
    <xf numFmtId="0" fontId="0" fillId="12" borderId="0" xfId="0" applyFill="1"/>
    <xf numFmtId="49" fontId="29" fillId="12" borderId="1" xfId="0" quotePrefix="1" applyNumberFormat="1" applyFont="1" applyFill="1" applyBorder="1" applyAlignment="1">
      <alignment horizontal="center" vertical="center"/>
    </xf>
    <xf numFmtId="0" fontId="4" fillId="12" borderId="1" xfId="11" applyFill="1" applyBorder="1"/>
    <xf numFmtId="0" fontId="2" fillId="12" borderId="1" xfId="11" applyFont="1" applyFill="1" applyBorder="1"/>
    <xf numFmtId="49" fontId="8" fillId="12" borderId="2" xfId="6" quotePrefix="1" applyNumberFormat="1" applyFont="1" applyFill="1" applyBorder="1" applyAlignment="1">
      <alignment horizontal="center"/>
    </xf>
    <xf numFmtId="14" fontId="10" fillId="12" borderId="1" xfId="8" applyNumberFormat="1" applyFill="1" applyBorder="1" applyAlignment="1">
      <alignment horizontal="center"/>
    </xf>
    <xf numFmtId="0" fontId="23" fillId="12" borderId="3" xfId="0" applyFont="1" applyFill="1" applyBorder="1"/>
    <xf numFmtId="14" fontId="50" fillId="12" borderId="1" xfId="12" applyNumberFormat="1" applyFill="1" applyBorder="1" applyAlignment="1">
      <alignment horizontal="center"/>
    </xf>
    <xf numFmtId="49" fontId="8" fillId="12" borderId="2" xfId="0" quotePrefix="1" applyNumberFormat="1" applyFont="1" applyFill="1" applyBorder="1" applyAlignment="1">
      <alignment horizontal="center"/>
    </xf>
    <xf numFmtId="14" fontId="8" fillId="12" borderId="1" xfId="0" applyNumberFormat="1" applyFont="1" applyFill="1" applyBorder="1" applyAlignment="1">
      <alignment horizontal="center" vertical="center"/>
    </xf>
    <xf numFmtId="0" fontId="22" fillId="12" borderId="1" xfId="0" applyFont="1" applyFill="1" applyBorder="1"/>
    <xf numFmtId="49" fontId="29" fillId="12" borderId="3" xfId="0" quotePrefix="1" applyNumberFormat="1" applyFont="1" applyFill="1" applyBorder="1" applyAlignment="1">
      <alignment horizontal="center" vertical="center"/>
    </xf>
    <xf numFmtId="14" fontId="2" fillId="12" borderId="1" xfId="0" applyNumberFormat="1" applyFont="1" applyFill="1" applyBorder="1" applyAlignment="1">
      <alignment horizontal="center" vertical="center"/>
    </xf>
    <xf numFmtId="164" fontId="23" fillId="12" borderId="1" xfId="4" applyFont="1" applyFill="1" applyBorder="1" applyAlignment="1">
      <alignment horizontal="right"/>
    </xf>
    <xf numFmtId="166" fontId="23" fillId="12" borderId="1" xfId="0" applyNumberFormat="1" applyFont="1" applyFill="1" applyBorder="1" applyAlignment="1">
      <alignment horizontal="right"/>
    </xf>
    <xf numFmtId="43" fontId="23" fillId="12" borderId="1" xfId="0" applyNumberFormat="1" applyFont="1" applyFill="1" applyBorder="1"/>
    <xf numFmtId="49" fontId="8" fillId="12" borderId="1" xfId="0" quotePrefix="1" applyNumberFormat="1" applyFont="1" applyFill="1" applyBorder="1" applyAlignment="1">
      <alignment horizontal="center"/>
    </xf>
    <xf numFmtId="0" fontId="24" fillId="12" borderId="3" xfId="0" applyFont="1" applyFill="1" applyBorder="1" applyAlignment="1">
      <alignment vertical="center" wrapText="1"/>
    </xf>
    <xf numFmtId="14" fontId="10" fillId="12" borderId="1" xfId="0" applyNumberFormat="1" applyFont="1" applyFill="1" applyBorder="1" applyAlignment="1">
      <alignment horizontal="center"/>
    </xf>
    <xf numFmtId="49" fontId="10" fillId="12" borderId="3" xfId="0" quotePrefix="1" applyNumberFormat="1" applyFont="1" applyFill="1" applyBorder="1" applyAlignment="1">
      <alignment horizontal="center"/>
    </xf>
    <xf numFmtId="166" fontId="23" fillId="12" borderId="1" xfId="1" applyNumberFormat="1" applyFont="1" applyFill="1" applyBorder="1"/>
    <xf numFmtId="49" fontId="10" fillId="12" borderId="1" xfId="0" quotePrefix="1" applyNumberFormat="1" applyFont="1" applyFill="1" applyBorder="1" applyAlignment="1">
      <alignment horizontal="center"/>
    </xf>
    <xf numFmtId="14" fontId="10" fillId="3" borderId="1" xfId="0" applyNumberFormat="1" applyFont="1" applyFill="1" applyBorder="1" applyAlignment="1">
      <alignment horizontal="center" vertical="center"/>
    </xf>
    <xf numFmtId="49" fontId="10" fillId="3" borderId="2" xfId="6" quotePrefix="1" applyNumberFormat="1" applyFont="1" applyFill="1" applyBorder="1" applyAlignment="1">
      <alignment horizontal="center"/>
    </xf>
    <xf numFmtId="0" fontId="23" fillId="3" borderId="6" xfId="0" applyFont="1" applyFill="1" applyBorder="1"/>
    <xf numFmtId="0" fontId="23" fillId="9" borderId="1" xfId="0" applyFont="1" applyFill="1" applyBorder="1" applyAlignment="1">
      <alignment horizontal="center" vertical="center" wrapText="1"/>
    </xf>
    <xf numFmtId="0" fontId="23" fillId="9" borderId="3" xfId="0" applyFont="1" applyFill="1" applyBorder="1" applyAlignment="1">
      <alignment horizontal="center" vertical="center" wrapText="1"/>
    </xf>
    <xf numFmtId="0" fontId="23" fillId="9" borderId="8" xfId="0" applyFont="1" applyFill="1" applyBorder="1" applyAlignment="1">
      <alignment horizontal="left" vertical="center"/>
    </xf>
    <xf numFmtId="49" fontId="8" fillId="9" borderId="3" xfId="0" quotePrefix="1" applyNumberFormat="1" applyFont="1" applyFill="1" applyBorder="1" applyAlignment="1">
      <alignment horizontal="center"/>
    </xf>
    <xf numFmtId="14" fontId="8" fillId="9" borderId="1" xfId="0" applyNumberFormat="1" applyFont="1" applyFill="1" applyBorder="1" applyAlignment="1">
      <alignment horizontal="center"/>
    </xf>
    <xf numFmtId="166" fontId="23" fillId="9" borderId="1" xfId="3" applyNumberFormat="1" applyFont="1" applyFill="1" applyBorder="1" applyAlignment="1">
      <alignment horizontal="center" vertical="center"/>
    </xf>
    <xf numFmtId="166" fontId="23" fillId="9" borderId="1" xfId="1" applyNumberFormat="1" applyFont="1" applyFill="1" applyBorder="1"/>
    <xf numFmtId="41" fontId="23" fillId="9" borderId="1" xfId="2" applyFont="1" applyFill="1" applyBorder="1"/>
    <xf numFmtId="166" fontId="23" fillId="9" borderId="1" xfId="0" applyNumberFormat="1" applyFont="1" applyFill="1" applyBorder="1"/>
    <xf numFmtId="41" fontId="23" fillId="9" borderId="1" xfId="0" applyNumberFormat="1" applyFont="1" applyFill="1" applyBorder="1"/>
    <xf numFmtId="164" fontId="23" fillId="9" borderId="1" xfId="0" applyNumberFormat="1" applyFont="1" applyFill="1" applyBorder="1"/>
    <xf numFmtId="0" fontId="26" fillId="9" borderId="1" xfId="0" applyFont="1" applyFill="1" applyBorder="1"/>
    <xf numFmtId="164" fontId="23" fillId="9" borderId="1" xfId="4" applyFont="1" applyFill="1" applyBorder="1"/>
    <xf numFmtId="41" fontId="26" fillId="9" borderId="1" xfId="0" applyNumberFormat="1" applyFont="1" applyFill="1" applyBorder="1"/>
    <xf numFmtId="0" fontId="26" fillId="9" borderId="0" xfId="0" applyFont="1" applyFill="1"/>
    <xf numFmtId="0" fontId="23" fillId="9" borderId="8" xfId="0" applyFont="1" applyFill="1" applyBorder="1" applyAlignment="1">
      <alignment vertical="center"/>
    </xf>
    <xf numFmtId="166" fontId="23" fillId="9" borderId="1" xfId="1" applyNumberFormat="1" applyFont="1" applyFill="1" applyBorder="1" applyAlignment="1">
      <alignment vertical="center"/>
    </xf>
    <xf numFmtId="0" fontId="23" fillId="9" borderId="1" xfId="0" applyFont="1" applyFill="1" applyBorder="1" applyAlignment="1">
      <alignment horizontal="center" vertical="center"/>
    </xf>
    <xf numFmtId="0" fontId="23" fillId="9" borderId="3" xfId="0" applyFont="1" applyFill="1" applyBorder="1"/>
    <xf numFmtId="49" fontId="8" fillId="9" borderId="2" xfId="6" quotePrefix="1" applyNumberFormat="1" applyFont="1" applyFill="1" applyBorder="1" applyAlignment="1">
      <alignment horizontal="center"/>
    </xf>
    <xf numFmtId="14" fontId="10" fillId="9" borderId="1" xfId="8" applyNumberFormat="1" applyFill="1" applyBorder="1" applyAlignment="1">
      <alignment horizontal="center"/>
    </xf>
    <xf numFmtId="166" fontId="38" fillId="9" borderId="1" xfId="1" applyNumberFormat="1" applyFont="1" applyFill="1" applyBorder="1" applyAlignment="1"/>
    <xf numFmtId="0" fontId="23" fillId="9" borderId="6" xfId="0" applyFont="1" applyFill="1" applyBorder="1" applyAlignment="1">
      <alignment horizontal="left" vertical="center"/>
    </xf>
    <xf numFmtId="49" fontId="29" fillId="9" borderId="1" xfId="0" quotePrefix="1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/>
    </xf>
    <xf numFmtId="49" fontId="8" fillId="9" borderId="1" xfId="0" quotePrefix="1" applyNumberFormat="1" applyFont="1" applyFill="1" applyBorder="1" applyAlignment="1">
      <alignment horizontal="center"/>
    </xf>
    <xf numFmtId="14" fontId="8" fillId="9" borderId="4" xfId="0" applyNumberFormat="1" applyFont="1" applyFill="1" applyBorder="1" applyAlignment="1">
      <alignment horizontal="center"/>
    </xf>
    <xf numFmtId="0" fontId="23" fillId="9" borderId="1" xfId="0" applyFont="1" applyFill="1" applyBorder="1" applyAlignment="1">
      <alignment vertical="center"/>
    </xf>
    <xf numFmtId="0" fontId="23" fillId="9" borderId="1" xfId="5" applyFont="1" applyFill="1" applyBorder="1" applyAlignment="1">
      <alignment horizontal="left" vertical="center"/>
    </xf>
    <xf numFmtId="14" fontId="50" fillId="9" borderId="1" xfId="12" applyNumberFormat="1" applyFill="1" applyBorder="1" applyAlignment="1">
      <alignment horizontal="center"/>
    </xf>
    <xf numFmtId="43" fontId="23" fillId="9" borderId="1" xfId="0" applyNumberFormat="1" applyFont="1" applyFill="1" applyBorder="1"/>
    <xf numFmtId="0" fontId="23" fillId="9" borderId="1" xfId="0" applyFont="1" applyFill="1" applyBorder="1" applyAlignment="1">
      <alignment horizontal="left"/>
    </xf>
    <xf numFmtId="49" fontId="3" fillId="9" borderId="1" xfId="0" quotePrefix="1" applyNumberFormat="1" applyFont="1" applyFill="1" applyBorder="1" applyAlignment="1">
      <alignment horizontal="center"/>
    </xf>
    <xf numFmtId="14" fontId="31" fillId="9" borderId="1" xfId="0" applyNumberFormat="1" applyFont="1" applyFill="1" applyBorder="1" applyAlignment="1">
      <alignment horizontal="center"/>
    </xf>
    <xf numFmtId="166" fontId="23" fillId="9" borderId="2" xfId="1" applyNumberFormat="1" applyFont="1" applyFill="1" applyBorder="1"/>
    <xf numFmtId="0" fontId="24" fillId="9" borderId="1" xfId="0" applyFont="1" applyFill="1" applyBorder="1" applyAlignment="1">
      <alignment vertical="center" wrapText="1"/>
    </xf>
    <xf numFmtId="49" fontId="10" fillId="9" borderId="1" xfId="0" quotePrefix="1" applyNumberFormat="1" applyFont="1" applyFill="1" applyBorder="1" applyAlignment="1">
      <alignment horizontal="center"/>
    </xf>
    <xf numFmtId="14" fontId="10" fillId="9" borderId="1" xfId="0" applyNumberFormat="1" applyFont="1" applyFill="1" applyBorder="1" applyAlignment="1">
      <alignment horizontal="center"/>
    </xf>
    <xf numFmtId="166" fontId="23" fillId="9" borderId="1" xfId="1" applyNumberFormat="1" applyFont="1" applyFill="1" applyBorder="1" applyAlignment="1">
      <alignment horizontal="right"/>
    </xf>
    <xf numFmtId="0" fontId="23" fillId="9" borderId="0" xfId="0" applyFont="1" applyFill="1" applyAlignment="1">
      <alignment horizontal="center" vertical="center" wrapText="1"/>
    </xf>
    <xf numFmtId="0" fontId="31" fillId="9" borderId="0" xfId="0" applyFont="1" applyFill="1"/>
    <xf numFmtId="0" fontId="39" fillId="9" borderId="1" xfId="0" applyFont="1" applyFill="1" applyBorder="1"/>
    <xf numFmtId="0" fontId="36" fillId="9" borderId="0" xfId="0" applyFont="1" applyFill="1"/>
    <xf numFmtId="0" fontId="8" fillId="9" borderId="1" xfId="0" applyFont="1" applyFill="1" applyBorder="1" applyAlignment="1">
      <alignment horizontal="left" vertical="center"/>
    </xf>
    <xf numFmtId="0" fontId="31" fillId="9" borderId="1" xfId="0" applyFont="1" applyFill="1" applyBorder="1"/>
    <xf numFmtId="0" fontId="23" fillId="9" borderId="4" xfId="0" applyFont="1" applyFill="1" applyBorder="1"/>
    <xf numFmtId="0" fontId="39" fillId="9" borderId="4" xfId="0" applyFont="1" applyFill="1" applyBorder="1"/>
    <xf numFmtId="164" fontId="23" fillId="9" borderId="4" xfId="0" applyNumberFormat="1" applyFont="1" applyFill="1" applyBorder="1"/>
    <xf numFmtId="49" fontId="8" fillId="9" borderId="2" xfId="0" quotePrefix="1" applyNumberFormat="1" applyFont="1" applyFill="1" applyBorder="1" applyAlignment="1">
      <alignment horizontal="center"/>
    </xf>
    <xf numFmtId="166" fontId="23" fillId="9" borderId="1" xfId="1" applyNumberFormat="1" applyFont="1" applyFill="1" applyBorder="1" applyAlignment="1"/>
    <xf numFmtId="166" fontId="23" fillId="9" borderId="4" xfId="0" applyNumberFormat="1" applyFont="1" applyFill="1" applyBorder="1"/>
    <xf numFmtId="0" fontId="23" fillId="9" borderId="8" xfId="0" applyFont="1" applyFill="1" applyBorder="1" applyAlignment="1">
      <alignment horizontal="center" vertical="center" wrapText="1"/>
    </xf>
    <xf numFmtId="49" fontId="10" fillId="9" borderId="1" xfId="6" quotePrefix="1" applyNumberFormat="1" applyFont="1" applyFill="1" applyBorder="1" applyAlignment="1">
      <alignment horizontal="center"/>
    </xf>
    <xf numFmtId="14" fontId="6" fillId="9" borderId="1" xfId="8" applyNumberFormat="1" applyFont="1" applyFill="1" applyBorder="1" applyAlignment="1">
      <alignment horizontal="center"/>
    </xf>
    <xf numFmtId="166" fontId="23" fillId="9" borderId="4" xfId="1" applyNumberFormat="1" applyFont="1" applyFill="1" applyBorder="1"/>
    <xf numFmtId="166" fontId="23" fillId="9" borderId="4" xfId="3" applyNumberFormat="1" applyFont="1" applyFill="1" applyBorder="1" applyAlignment="1">
      <alignment horizontal="center" vertical="center"/>
    </xf>
    <xf numFmtId="41" fontId="23" fillId="9" borderId="4" xfId="0" applyNumberFormat="1" applyFont="1" applyFill="1" applyBorder="1"/>
    <xf numFmtId="0" fontId="31" fillId="9" borderId="3" xfId="0" applyFont="1" applyFill="1" applyBorder="1"/>
    <xf numFmtId="0" fontId="0" fillId="9" borderId="1" xfId="0" applyFill="1" applyBorder="1" applyAlignment="1">
      <alignment vertical="center"/>
    </xf>
    <xf numFmtId="41" fontId="31" fillId="9" borderId="1" xfId="2" applyFont="1" applyFill="1" applyBorder="1"/>
    <xf numFmtId="166" fontId="31" fillId="9" borderId="1" xfId="1" applyNumberFormat="1" applyFont="1" applyFill="1" applyBorder="1"/>
    <xf numFmtId="0" fontId="36" fillId="9" borderId="1" xfId="0" applyFont="1" applyFill="1" applyBorder="1"/>
    <xf numFmtId="49" fontId="10" fillId="9" borderId="3" xfId="0" quotePrefix="1" applyNumberFormat="1" applyFont="1" applyFill="1" applyBorder="1" applyAlignment="1">
      <alignment horizontal="center"/>
    </xf>
    <xf numFmtId="41" fontId="38" fillId="9" borderId="1" xfId="0" applyNumberFormat="1" applyFont="1" applyFill="1" applyBorder="1"/>
    <xf numFmtId="41" fontId="23" fillId="9" borderId="1" xfId="2" applyFont="1" applyFill="1" applyBorder="1" applyAlignment="1">
      <alignment horizontal="center" vertical="center"/>
    </xf>
    <xf numFmtId="169" fontId="10" fillId="9" borderId="1" xfId="0" applyNumberFormat="1" applyFont="1" applyFill="1" applyBorder="1" applyAlignment="1">
      <alignment horizontal="center"/>
    </xf>
    <xf numFmtId="169" fontId="2" fillId="9" borderId="1" xfId="0" applyNumberFormat="1" applyFont="1" applyFill="1" applyBorder="1" applyAlignment="1">
      <alignment horizontal="center"/>
    </xf>
    <xf numFmtId="0" fontId="23" fillId="14" borderId="1" xfId="0" applyFont="1" applyFill="1" applyBorder="1" applyAlignment="1">
      <alignment horizontal="center" vertical="center" wrapText="1"/>
    </xf>
    <xf numFmtId="0" fontId="23" fillId="14" borderId="3" xfId="0" applyFont="1" applyFill="1" applyBorder="1" applyAlignment="1">
      <alignment horizontal="center" vertical="center" wrapText="1"/>
    </xf>
    <xf numFmtId="0" fontId="23" fillId="14" borderId="1" xfId="0" applyFont="1" applyFill="1" applyBorder="1"/>
    <xf numFmtId="0" fontId="25" fillId="14" borderId="1" xfId="0" applyFont="1" applyFill="1" applyBorder="1"/>
    <xf numFmtId="14" fontId="23" fillId="14" borderId="1" xfId="0" applyNumberFormat="1" applyFont="1" applyFill="1" applyBorder="1" applyAlignment="1">
      <alignment horizontal="center"/>
    </xf>
    <xf numFmtId="166" fontId="23" fillId="14" borderId="1" xfId="3" applyNumberFormat="1" applyFont="1" applyFill="1" applyBorder="1" applyAlignment="1">
      <alignment horizontal="center" vertical="center"/>
    </xf>
    <xf numFmtId="166" fontId="23" fillId="14" borderId="2" xfId="1" applyNumberFormat="1" applyFont="1" applyFill="1" applyBorder="1"/>
    <xf numFmtId="164" fontId="23" fillId="14" borderId="1" xfId="4" applyFont="1" applyFill="1" applyBorder="1"/>
    <xf numFmtId="164" fontId="38" fillId="14" borderId="1" xfId="4" applyFont="1" applyFill="1" applyBorder="1" applyAlignment="1">
      <alignment vertical="center"/>
    </xf>
    <xf numFmtId="41" fontId="23" fillId="14" borderId="1" xfId="0" applyNumberFormat="1" applyFont="1" applyFill="1" applyBorder="1"/>
    <xf numFmtId="164" fontId="23" fillId="14" borderId="1" xfId="0" applyNumberFormat="1" applyFont="1" applyFill="1" applyBorder="1"/>
    <xf numFmtId="0" fontId="39" fillId="14" borderId="1" xfId="0" applyFont="1" applyFill="1" applyBorder="1"/>
    <xf numFmtId="41" fontId="23" fillId="14" borderId="1" xfId="2" applyFont="1" applyFill="1" applyBorder="1"/>
    <xf numFmtId="0" fontId="26" fillId="14" borderId="1" xfId="0" applyFont="1" applyFill="1" applyBorder="1"/>
    <xf numFmtId="41" fontId="26" fillId="14" borderId="1" xfId="0" applyNumberFormat="1" applyFont="1" applyFill="1" applyBorder="1"/>
    <xf numFmtId="0" fontId="26" fillId="14" borderId="0" xfId="0" applyFont="1" applyFill="1"/>
    <xf numFmtId="49" fontId="10" fillId="14" borderId="2" xfId="6" quotePrefix="1" applyNumberFormat="1" applyFont="1" applyFill="1" applyBorder="1" applyAlignment="1">
      <alignment horizontal="center"/>
    </xf>
    <xf numFmtId="14" fontId="10" fillId="14" borderId="1" xfId="9" applyNumberFormat="1" applyFont="1" applyFill="1" applyBorder="1" applyAlignment="1">
      <alignment horizontal="center"/>
    </xf>
    <xf numFmtId="166" fontId="23" fillId="14" borderId="1" xfId="1" applyNumberFormat="1" applyFont="1" applyFill="1" applyBorder="1"/>
    <xf numFmtId="166" fontId="31" fillId="14" borderId="1" xfId="1" applyNumberFormat="1" applyFont="1" applyFill="1" applyBorder="1" applyAlignment="1">
      <alignment horizontal="right"/>
    </xf>
    <xf numFmtId="49" fontId="10" fillId="14" borderId="2" xfId="0" quotePrefix="1" applyNumberFormat="1" applyFont="1" applyFill="1" applyBorder="1" applyAlignment="1">
      <alignment horizontal="center"/>
    </xf>
    <xf numFmtId="14" fontId="10" fillId="14" borderId="1" xfId="0" applyNumberFormat="1" applyFont="1" applyFill="1" applyBorder="1" applyAlignment="1">
      <alignment horizontal="center"/>
    </xf>
    <xf numFmtId="41" fontId="39" fillId="14" borderId="1" xfId="2" applyFont="1" applyFill="1" applyBorder="1"/>
    <xf numFmtId="0" fontId="23" fillId="14" borderId="7" xfId="0" applyFont="1" applyFill="1" applyBorder="1"/>
    <xf numFmtId="0" fontId="31" fillId="14" borderId="1" xfId="0" applyFont="1" applyFill="1" applyBorder="1"/>
    <xf numFmtId="0" fontId="31" fillId="14" borderId="1" xfId="0" applyFont="1" applyFill="1" applyBorder="1" applyAlignment="1">
      <alignment vertical="center"/>
    </xf>
    <xf numFmtId="169" fontId="31" fillId="14" borderId="1" xfId="0" applyNumberFormat="1" applyFont="1" applyFill="1" applyBorder="1" applyAlignment="1">
      <alignment horizontal="center"/>
    </xf>
    <xf numFmtId="43" fontId="23" fillId="14" borderId="1" xfId="0" applyNumberFormat="1" applyFont="1" applyFill="1" applyBorder="1"/>
    <xf numFmtId="0" fontId="36" fillId="14" borderId="1" xfId="0" applyFont="1" applyFill="1" applyBorder="1"/>
    <xf numFmtId="166" fontId="23" fillId="14" borderId="1" xfId="0" applyNumberFormat="1" applyFont="1" applyFill="1" applyBorder="1"/>
    <xf numFmtId="14" fontId="31" fillId="14" borderId="1" xfId="0" applyNumberFormat="1" applyFont="1" applyFill="1" applyBorder="1" applyAlignment="1">
      <alignment horizontal="center"/>
    </xf>
    <xf numFmtId="0" fontId="23" fillId="14" borderId="4" xfId="0" applyFont="1" applyFill="1" applyBorder="1"/>
    <xf numFmtId="41" fontId="23" fillId="14" borderId="4" xfId="2" applyFont="1" applyFill="1" applyBorder="1"/>
    <xf numFmtId="0" fontId="36" fillId="14" borderId="0" xfId="0" applyFont="1" applyFill="1"/>
    <xf numFmtId="14" fontId="10" fillId="6" borderId="1" xfId="8" applyNumberFormat="1" applyFill="1" applyBorder="1" applyAlignment="1">
      <alignment horizontal="center" vertical="center"/>
    </xf>
    <xf numFmtId="41" fontId="26" fillId="6" borderId="1" xfId="2" applyFont="1" applyFill="1" applyBorder="1"/>
    <xf numFmtId="14" fontId="10" fillId="6" borderId="1" xfId="0" applyNumberFormat="1" applyFont="1" applyFill="1" applyBorder="1" applyAlignment="1">
      <alignment horizontal="center"/>
    </xf>
    <xf numFmtId="166" fontId="31" fillId="6" borderId="1" xfId="1" applyNumberFormat="1" applyFont="1" applyFill="1" applyBorder="1" applyAlignment="1">
      <alignment horizontal="right"/>
    </xf>
    <xf numFmtId="0" fontId="0" fillId="11" borderId="1" xfId="0" applyFill="1" applyBorder="1"/>
    <xf numFmtId="41" fontId="36" fillId="0" borderId="2" xfId="0" applyNumberFormat="1" applyFont="1" applyBorder="1"/>
    <xf numFmtId="0" fontId="23" fillId="4" borderId="1" xfId="0" applyFont="1" applyFill="1" applyBorder="1"/>
    <xf numFmtId="0" fontId="0" fillId="11" borderId="0" xfId="0" applyFill="1"/>
    <xf numFmtId="166" fontId="23" fillId="11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left" vertical="center" indent="2"/>
    </xf>
    <xf numFmtId="3" fontId="21" fillId="0" borderId="17" xfId="0" applyNumberFormat="1" applyFont="1" applyBorder="1" applyAlignment="1">
      <alignment horizontal="center"/>
    </xf>
    <xf numFmtId="3" fontId="21" fillId="0" borderId="6" xfId="0" applyNumberFormat="1" applyFont="1" applyBorder="1" applyAlignment="1">
      <alignment horizontal="center"/>
    </xf>
    <xf numFmtId="3" fontId="21" fillId="0" borderId="2" xfId="0" applyNumberFormat="1" applyFont="1" applyBorder="1" applyAlignment="1">
      <alignment horizontal="center"/>
    </xf>
    <xf numFmtId="3" fontId="31" fillId="0" borderId="3" xfId="0" applyNumberFormat="1" applyFont="1" applyBorder="1" applyAlignment="1">
      <alignment horizontal="left"/>
    </xf>
    <xf numFmtId="3" fontId="31" fillId="0" borderId="6" xfId="0" applyNumberFormat="1" applyFont="1" applyBorder="1" applyAlignment="1">
      <alignment horizontal="left"/>
    </xf>
    <xf numFmtId="3" fontId="31" fillId="0" borderId="2" xfId="0" applyNumberFormat="1" applyFont="1" applyBorder="1" applyAlignment="1">
      <alignment horizontal="left"/>
    </xf>
    <xf numFmtId="0" fontId="21" fillId="0" borderId="17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4" borderId="3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1" fillId="0" borderId="3" xfId="0" applyFont="1" applyBorder="1" applyAlignment="1">
      <alignment horizontal="left"/>
    </xf>
    <xf numFmtId="0" fontId="31" fillId="0" borderId="6" xfId="0" applyFont="1" applyBorder="1" applyAlignment="1">
      <alignment horizontal="left"/>
    </xf>
    <xf numFmtId="0" fontId="31" fillId="0" borderId="2" xfId="0" applyFont="1" applyBorder="1" applyAlignment="1">
      <alignment horizontal="left"/>
    </xf>
    <xf numFmtId="3" fontId="21" fillId="0" borderId="18" xfId="0" applyNumberFormat="1" applyFont="1" applyBorder="1" applyAlignment="1">
      <alignment horizontal="center"/>
    </xf>
    <xf numFmtId="41" fontId="17" fillId="3" borderId="3" xfId="2" applyFont="1" applyFill="1" applyBorder="1" applyAlignment="1">
      <alignment horizontal="center" vertical="center"/>
    </xf>
    <xf numFmtId="41" fontId="17" fillId="3" borderId="2" xfId="2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33" fillId="5" borderId="3" xfId="0" applyFont="1" applyFill="1" applyBorder="1" applyAlignment="1">
      <alignment horizontal="left" vertical="center"/>
    </xf>
    <xf numFmtId="0" fontId="33" fillId="5" borderId="6" xfId="0" applyFont="1" applyFill="1" applyBorder="1" applyAlignment="1">
      <alignment horizontal="left" vertical="center"/>
    </xf>
    <xf numFmtId="0" fontId="33" fillId="5" borderId="2" xfId="0" applyFont="1" applyFill="1" applyBorder="1" applyAlignment="1">
      <alignment horizontal="left" vertical="center"/>
    </xf>
    <xf numFmtId="41" fontId="17" fillId="4" borderId="3" xfId="2" applyFont="1" applyFill="1" applyBorder="1" applyAlignment="1">
      <alignment horizontal="center" vertical="center" wrapText="1"/>
    </xf>
    <xf numFmtId="41" fontId="17" fillId="4" borderId="2" xfId="2" applyFont="1" applyFill="1" applyBorder="1" applyAlignment="1">
      <alignment horizontal="center" vertical="center" wrapText="1"/>
    </xf>
    <xf numFmtId="41" fontId="10" fillId="0" borderId="3" xfId="2" applyFont="1" applyBorder="1" applyAlignment="1">
      <alignment horizontal="center" vertical="center"/>
    </xf>
    <xf numFmtId="41" fontId="10" fillId="0" borderId="2" xfId="2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" fontId="12" fillId="0" borderId="0" xfId="0" applyNumberFormat="1" applyFont="1" applyAlignment="1">
      <alignment horizontal="center" vertical="center"/>
    </xf>
    <xf numFmtId="41" fontId="12" fillId="0" borderId="0" xfId="2" applyFont="1" applyAlignment="1">
      <alignment horizontal="center" vertical="center"/>
    </xf>
    <xf numFmtId="0" fontId="18" fillId="0" borderId="0" xfId="0" applyFont="1" applyAlignment="1">
      <alignment horizontal="center"/>
    </xf>
  </cellXfs>
  <cellStyles count="13">
    <cellStyle name="Comma" xfId="1" builtinId="3"/>
    <cellStyle name="Comma [0]" xfId="2" builtinId="6"/>
    <cellStyle name="Comma [0] 2" xfId="4" xr:uid="{00000000-0005-0000-0000-000002000000}"/>
    <cellStyle name="Comma 2" xfId="3" xr:uid="{00000000-0005-0000-0000-000003000000}"/>
    <cellStyle name="Comma 2 2" xfId="7" xr:uid="{00000000-0005-0000-0000-000004000000}"/>
    <cellStyle name="Hyperlink" xfId="12" builtinId="8"/>
    <cellStyle name="Normal" xfId="0" builtinId="0"/>
    <cellStyle name="Normal 2" xfId="6" xr:uid="{00000000-0005-0000-0000-000006000000}"/>
    <cellStyle name="Normal 2 2" xfId="9" xr:uid="{00000000-0005-0000-0000-000007000000}"/>
    <cellStyle name="Normal 2 3" xfId="8" xr:uid="{00000000-0005-0000-0000-000008000000}"/>
    <cellStyle name="Normal 3" xfId="5" xr:uid="{00000000-0005-0000-0000-000009000000}"/>
    <cellStyle name="Normal 4" xfId="10" xr:uid="{00000000-0005-0000-0000-00000A000000}"/>
    <cellStyle name="Normal 5" xfId="11" xr:uid="{526E7BEE-A1A1-459E-B12E-B4B8EF3541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95250</xdr:rowOff>
    </xdr:from>
    <xdr:to>
      <xdr:col>8</xdr:col>
      <xdr:colOff>394607</xdr:colOff>
      <xdr:row>1</xdr:row>
      <xdr:rowOff>892628</xdr:rowOff>
    </xdr:to>
    <xdr:pic>
      <xdr:nvPicPr>
        <xdr:cNvPr id="2" name="Picture 1" descr="D:\4. Design\KOP SURAT\img\Kop Surat SDUT - copy.png">
          <a:extLst>
            <a:ext uri="{FF2B5EF4-FFF2-40B4-BE49-F238E27FC236}">
              <a16:creationId xmlns:a16="http://schemas.microsoft.com/office/drawing/2014/main" id="{C80D2EA4-FE44-4434-87D0-C20C870F97A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295275"/>
          <a:ext cx="4947557" cy="79737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JI%202019-2020/GAJI%20MEI+THR/MEI+TH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AJI%202019-2020\GAJI%20MEI+THR\MEI+TH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AJI\GAJI%20%202018%202019\GAJI%202017%202018\GAJI%20AGUSTUS%20BEN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AJI\GAJI%20%202018%202019\Users\admin\Downloads\gaji%20ju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GAJI"/>
      <sheetName val="YPBK"/>
      <sheetName val="SD"/>
      <sheetName val="SMP"/>
      <sheetName val="BOARDING"/>
      <sheetName val="PAUD"/>
      <sheetName val="TPQ"/>
      <sheetName val="ALL"/>
      <sheetName val="BP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3">
          <cell r="C43">
            <v>2068053661</v>
          </cell>
        </row>
        <row r="78">
          <cell r="C78">
            <v>2015144320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GAJI"/>
      <sheetName val="YPBK"/>
      <sheetName val="SD"/>
      <sheetName val="SMP"/>
      <sheetName val="BOARDING"/>
      <sheetName val="PAUD"/>
      <sheetName val="TPQ"/>
      <sheetName val="ALL"/>
      <sheetName val="BP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3">
          <cell r="C43">
            <v>2068053661</v>
          </cell>
        </row>
        <row r="78">
          <cell r="C78">
            <v>2015144320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JI ALL"/>
      <sheetName val="BPD"/>
      <sheetName val="SDUT"/>
      <sheetName val="SMPUT"/>
      <sheetName val="BORDING"/>
      <sheetName val="Staff YAYASAN"/>
      <sheetName val="TPQQ"/>
      <sheetName val="GAJI UNTUK SLIP"/>
      <sheetName val="DAFTAR PENGAMBILAN GAJI"/>
      <sheetName val="GAJI EKSTRA"/>
      <sheetName val="GAJI PEMADATAN US"/>
      <sheetName val="GAJI OLMAT"/>
      <sheetName val="Sheet1"/>
    </sheetNames>
    <sheetDataSet>
      <sheetData sheetId="0" refreshError="1"/>
      <sheetData sheetId="1" refreshError="1">
        <row r="67">
          <cell r="D67">
            <v>3119043122</v>
          </cell>
        </row>
        <row r="68">
          <cell r="D68">
            <v>3119045036</v>
          </cell>
        </row>
        <row r="69">
          <cell r="D69">
            <v>3015146868</v>
          </cell>
        </row>
        <row r="70">
          <cell r="D70">
            <v>3015146060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JI ALL"/>
      <sheetName val="BPD"/>
      <sheetName val="SDUT"/>
      <sheetName val="TPQ"/>
      <sheetName val="SMPUT"/>
      <sheetName val="Bording"/>
      <sheetName val="SLIP"/>
      <sheetName val="GAJI EKSTRA "/>
      <sheetName val="GAJI PEMADATAN US"/>
      <sheetName val="GAJI OLMAT"/>
    </sheetNames>
    <sheetDataSet>
      <sheetData sheetId="0" refreshError="1"/>
      <sheetData sheetId="1" refreshError="1">
        <row r="72">
          <cell r="C72">
            <v>3068082713</v>
          </cell>
        </row>
        <row r="73">
          <cell r="C73">
            <v>3015169981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7/18/2012@mei%202024" TargetMode="External"/><Relationship Id="rId7" Type="http://schemas.openxmlformats.org/officeDocument/2006/relationships/comments" Target="../comments2.xml"/><Relationship Id="rId2" Type="http://schemas.openxmlformats.org/officeDocument/2006/relationships/hyperlink" Target="mailto:7/18/2016@mai%202024" TargetMode="External"/><Relationship Id="rId1" Type="http://schemas.openxmlformats.org/officeDocument/2006/relationships/hyperlink" Target="mailto:7/15/2013@mei%202024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7/17/2017@mei%2020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J50"/>
  <sheetViews>
    <sheetView workbookViewId="0">
      <selection activeCell="I50" sqref="B2:I50"/>
    </sheetView>
  </sheetViews>
  <sheetFormatPr defaultRowHeight="15" x14ac:dyDescent="0.25"/>
  <cols>
    <col min="3" max="3" width="21" customWidth="1"/>
    <col min="8" max="8" width="11.140625" customWidth="1"/>
    <col min="9" max="9" width="17.85546875" customWidth="1"/>
  </cols>
  <sheetData>
    <row r="1" spans="2:62" ht="15.75" thickBot="1" x14ac:dyDescent="0.3">
      <c r="B1" t="s">
        <v>333</v>
      </c>
    </row>
    <row r="2" spans="2:62" ht="79.5" x14ac:dyDescent="0.25">
      <c r="B2" s="205"/>
      <c r="C2" s="206"/>
      <c r="D2" s="206"/>
      <c r="E2" s="206"/>
      <c r="F2" s="206"/>
      <c r="G2" s="206"/>
      <c r="H2" s="206"/>
      <c r="I2" s="207"/>
      <c r="K2" s="208" t="s">
        <v>0</v>
      </c>
      <c r="L2" s="208" t="s">
        <v>1</v>
      </c>
      <c r="M2" s="107" t="s">
        <v>2</v>
      </c>
      <c r="N2" s="107" t="s">
        <v>3</v>
      </c>
      <c r="O2" s="209" t="s">
        <v>4</v>
      </c>
      <c r="P2" s="209" t="s">
        <v>5</v>
      </c>
      <c r="Q2" s="209" t="s">
        <v>6</v>
      </c>
      <c r="R2" s="209" t="s">
        <v>277</v>
      </c>
      <c r="S2" s="209" t="s">
        <v>278</v>
      </c>
      <c r="T2" s="210" t="s">
        <v>7</v>
      </c>
      <c r="U2" s="107" t="s">
        <v>8</v>
      </c>
      <c r="V2" s="107" t="s">
        <v>103</v>
      </c>
      <c r="W2" s="107" t="s">
        <v>9</v>
      </c>
      <c r="X2" s="107" t="s">
        <v>10</v>
      </c>
      <c r="Y2" s="107" t="s">
        <v>11</v>
      </c>
      <c r="Z2" s="107" t="s">
        <v>85</v>
      </c>
      <c r="AA2" s="107" t="s">
        <v>112</v>
      </c>
      <c r="AB2" s="107" t="s">
        <v>113</v>
      </c>
      <c r="AC2" s="107" t="s">
        <v>13</v>
      </c>
      <c r="AD2" s="107" t="s">
        <v>114</v>
      </c>
      <c r="AE2" s="107" t="s">
        <v>15</v>
      </c>
      <c r="AF2" s="107" t="s">
        <v>16</v>
      </c>
      <c r="AG2" s="107" t="s">
        <v>17</v>
      </c>
      <c r="AH2" s="107" t="s">
        <v>18</v>
      </c>
      <c r="AI2" s="107" t="s">
        <v>19</v>
      </c>
      <c r="AJ2" s="107" t="s">
        <v>20</v>
      </c>
      <c r="AK2" s="107" t="s">
        <v>21</v>
      </c>
      <c r="AL2" s="107" t="s">
        <v>22</v>
      </c>
      <c r="AM2" s="107" t="s">
        <v>23</v>
      </c>
      <c r="AN2" s="107" t="s">
        <v>24</v>
      </c>
      <c r="AO2" s="107" t="s">
        <v>25</v>
      </c>
      <c r="AP2" s="211" t="s">
        <v>26</v>
      </c>
      <c r="AQ2" s="211" t="s">
        <v>27</v>
      </c>
      <c r="AR2" s="212" t="s">
        <v>28</v>
      </c>
      <c r="AS2" s="107" t="s">
        <v>29</v>
      </c>
      <c r="AT2" s="107" t="s">
        <v>134</v>
      </c>
      <c r="AU2" s="213" t="s">
        <v>30</v>
      </c>
      <c r="AV2" s="107" t="s">
        <v>31</v>
      </c>
      <c r="AW2" s="107" t="s">
        <v>32</v>
      </c>
      <c r="AX2" s="107" t="s">
        <v>33</v>
      </c>
      <c r="AY2" s="107" t="s">
        <v>34</v>
      </c>
      <c r="AZ2" s="107" t="s">
        <v>35</v>
      </c>
      <c r="BA2" s="107" t="s">
        <v>36</v>
      </c>
      <c r="BB2" s="107" t="s">
        <v>37</v>
      </c>
      <c r="BC2" s="107" t="s">
        <v>38</v>
      </c>
      <c r="BD2" s="214" t="s">
        <v>301</v>
      </c>
      <c r="BE2" s="214" t="s">
        <v>302</v>
      </c>
      <c r="BF2" s="214" t="s">
        <v>303</v>
      </c>
      <c r="BG2" s="214" t="s">
        <v>304</v>
      </c>
      <c r="BH2" s="214" t="s">
        <v>305</v>
      </c>
      <c r="BI2" s="214" t="s">
        <v>306</v>
      </c>
      <c r="BJ2" s="214" t="s">
        <v>307</v>
      </c>
    </row>
    <row r="3" spans="2:62" x14ac:dyDescent="0.25">
      <c r="B3" s="215"/>
      <c r="C3" s="101"/>
      <c r="D3" s="101"/>
      <c r="E3" s="257"/>
      <c r="F3" s="257"/>
      <c r="G3" s="257"/>
      <c r="H3" s="257"/>
      <c r="I3" s="216"/>
    </row>
    <row r="4" spans="2:62" x14ac:dyDescent="0.25">
      <c r="B4" s="215"/>
      <c r="C4" s="101"/>
      <c r="D4" s="101"/>
      <c r="E4" s="258"/>
      <c r="F4" s="258"/>
      <c r="G4" s="258"/>
      <c r="H4" s="258"/>
      <c r="I4" s="217"/>
    </row>
    <row r="5" spans="2:62" x14ac:dyDescent="0.25">
      <c r="B5" s="215"/>
      <c r="C5" s="101"/>
      <c r="D5" s="101"/>
      <c r="E5" s="258"/>
      <c r="F5" s="258"/>
      <c r="G5" s="258"/>
      <c r="H5" s="258"/>
      <c r="I5" s="217"/>
    </row>
    <row r="6" spans="2:62" x14ac:dyDescent="0.25">
      <c r="B6" s="215"/>
      <c r="C6" s="101"/>
      <c r="D6" s="101"/>
      <c r="E6" s="101"/>
      <c r="F6" s="101"/>
      <c r="G6" s="101"/>
      <c r="H6" s="101"/>
      <c r="I6" s="218"/>
    </row>
    <row r="7" spans="2:62" x14ac:dyDescent="0.25">
      <c r="B7" s="219" t="s">
        <v>334</v>
      </c>
      <c r="C7" s="259"/>
      <c r="D7" s="260" t="s">
        <v>335</v>
      </c>
      <c r="E7" s="261">
        <f>IF($E$8="","",VLOOKUP($E$8,ALL!$C$3:$BA$120,2,0))</f>
        <v>0</v>
      </c>
      <c r="F7" s="101"/>
      <c r="G7" s="101"/>
      <c r="H7" s="101"/>
      <c r="I7" s="218"/>
    </row>
    <row r="8" spans="2:62" ht="36" x14ac:dyDescent="0.25">
      <c r="B8" s="219" t="s">
        <v>115</v>
      </c>
      <c r="C8" s="259"/>
      <c r="D8" s="260" t="s">
        <v>335</v>
      </c>
      <c r="E8" s="437" t="s">
        <v>368</v>
      </c>
      <c r="F8" s="262"/>
      <c r="G8" s="263"/>
      <c r="H8" s="101"/>
      <c r="I8" s="218"/>
    </row>
    <row r="9" spans="2:62" x14ac:dyDescent="0.25">
      <c r="B9" s="219" t="s">
        <v>3</v>
      </c>
      <c r="C9" s="259"/>
      <c r="D9" s="260" t="s">
        <v>335</v>
      </c>
      <c r="E9" s="101" t="str">
        <f>IF(E8="","",VLOOKUP(E8,ALL!C3:BA120,3,0))</f>
        <v>Guru Mapel</v>
      </c>
      <c r="F9" s="101"/>
      <c r="G9" s="101"/>
      <c r="H9" s="101"/>
      <c r="I9" s="218"/>
    </row>
    <row r="10" spans="2:62" x14ac:dyDescent="0.25">
      <c r="B10" s="219" t="s">
        <v>336</v>
      </c>
      <c r="C10" s="259"/>
      <c r="D10" s="260" t="s">
        <v>335</v>
      </c>
      <c r="E10" s="101" t="str">
        <f>REKAP!A3</f>
        <v>TAHUN PELAJARAN 2024/2025</v>
      </c>
      <c r="F10" s="101"/>
      <c r="G10" s="101"/>
      <c r="H10" s="101"/>
      <c r="I10" s="218"/>
    </row>
    <row r="11" spans="2:62" x14ac:dyDescent="0.25">
      <c r="B11" s="219" t="s">
        <v>337</v>
      </c>
      <c r="C11" s="259"/>
      <c r="D11" s="260" t="s">
        <v>335</v>
      </c>
      <c r="E11" s="264" t="s">
        <v>488</v>
      </c>
      <c r="F11" s="101"/>
      <c r="G11" s="101"/>
      <c r="H11" s="265"/>
      <c r="I11" s="218"/>
    </row>
    <row r="12" spans="2:62" x14ac:dyDescent="0.25">
      <c r="B12" s="215"/>
      <c r="C12" s="101"/>
      <c r="D12" s="101"/>
      <c r="E12" s="101"/>
      <c r="F12" s="101"/>
      <c r="G12" s="101"/>
      <c r="H12" s="101"/>
      <c r="I12" s="218"/>
    </row>
    <row r="13" spans="2:62" x14ac:dyDescent="0.25">
      <c r="B13" s="220" t="s">
        <v>338</v>
      </c>
      <c r="C13" s="101"/>
      <c r="D13" s="101"/>
      <c r="E13" s="101"/>
      <c r="F13" s="101"/>
      <c r="G13" s="101"/>
      <c r="H13" s="101"/>
      <c r="I13" s="218"/>
    </row>
    <row r="14" spans="2:62" ht="25.5" x14ac:dyDescent="0.25">
      <c r="B14" s="221" t="s">
        <v>339</v>
      </c>
      <c r="C14" s="522" t="s">
        <v>340</v>
      </c>
      <c r="D14" s="523"/>
      <c r="E14" s="524"/>
      <c r="F14" s="222" t="s">
        <v>341</v>
      </c>
      <c r="G14" s="223" t="s">
        <v>342</v>
      </c>
      <c r="H14" s="224" t="s">
        <v>343</v>
      </c>
      <c r="I14" s="225" t="s">
        <v>344</v>
      </c>
    </row>
    <row r="15" spans="2:62" x14ac:dyDescent="0.25">
      <c r="B15" s="226"/>
      <c r="C15" s="227" t="s">
        <v>7</v>
      </c>
      <c r="D15" s="228"/>
      <c r="E15" s="229"/>
      <c r="F15" s="230"/>
      <c r="G15" s="231"/>
      <c r="H15" s="232"/>
      <c r="I15" s="233">
        <f>IF($E$8="","",VLOOKUP($E$8,ALL!$C$3:$BA$119,9,0))</f>
        <v>1384000</v>
      </c>
    </row>
    <row r="16" spans="2:62" x14ac:dyDescent="0.25">
      <c r="B16" s="226"/>
      <c r="C16" s="227" t="s">
        <v>8</v>
      </c>
      <c r="D16" s="228"/>
      <c r="E16" s="229"/>
      <c r="F16" s="230"/>
      <c r="G16" s="231"/>
      <c r="H16" s="232"/>
      <c r="I16" s="233">
        <f>IF($E$8="","",VLOOKUP($E$8,ALL!$C$3:$BA$119,10,0))</f>
        <v>700000</v>
      </c>
    </row>
    <row r="17" spans="2:9" x14ac:dyDescent="0.25">
      <c r="B17" s="226"/>
      <c r="C17" s="227" t="s">
        <v>84</v>
      </c>
      <c r="D17" s="228"/>
      <c r="E17" s="229"/>
      <c r="F17" s="230"/>
      <c r="G17" s="234"/>
      <c r="H17" s="232"/>
      <c r="I17" s="233">
        <f>IF($E$8="","",VLOOKUP($E$8,ALL!$C$3:$BA$119,11,0))</f>
        <v>0</v>
      </c>
    </row>
    <row r="18" spans="2:9" x14ac:dyDescent="0.25">
      <c r="B18" s="226"/>
      <c r="C18" s="525" t="s">
        <v>9</v>
      </c>
      <c r="D18" s="526"/>
      <c r="E18" s="527"/>
      <c r="F18" s="230"/>
      <c r="G18" s="234"/>
      <c r="H18" s="232"/>
      <c r="I18" s="233">
        <f>IF($E$8="","",VLOOKUP($E$8,ALL!$C$3:$BA$119,12,0))</f>
        <v>0</v>
      </c>
    </row>
    <row r="19" spans="2:9" x14ac:dyDescent="0.25">
      <c r="B19" s="226"/>
      <c r="C19" s="525" t="s">
        <v>10</v>
      </c>
      <c r="D19" s="526"/>
      <c r="E19" s="527"/>
      <c r="F19" s="230"/>
      <c r="G19" s="234"/>
      <c r="H19" s="232"/>
      <c r="I19" s="233">
        <f>IF($E$8="","",VLOOKUP($E$8,ALL!$C$3:$BA$119,13,0))</f>
        <v>0</v>
      </c>
    </row>
    <row r="20" spans="2:9" x14ac:dyDescent="0.25">
      <c r="B20" s="226"/>
      <c r="C20" s="525" t="s">
        <v>345</v>
      </c>
      <c r="D20" s="526"/>
      <c r="E20" s="527"/>
      <c r="F20" s="230"/>
      <c r="G20" s="234"/>
      <c r="H20" s="232"/>
      <c r="I20" s="233">
        <f>IF($E$8="","",VLOOKUP($E$8,ALL!$C$3:$BA$119,14,0))</f>
        <v>0</v>
      </c>
    </row>
    <row r="21" spans="2:9" x14ac:dyDescent="0.25">
      <c r="B21" s="226"/>
      <c r="C21" s="227" t="s">
        <v>98</v>
      </c>
      <c r="D21" s="228"/>
      <c r="E21" s="229"/>
      <c r="F21" s="230"/>
      <c r="G21" s="234"/>
      <c r="H21" s="232"/>
      <c r="I21" s="233">
        <f>IF($E$8="","",VLOOKUP($E$8,ALL!$C$3:$BA$119,15,0))</f>
        <v>0</v>
      </c>
    </row>
    <row r="22" spans="2:9" x14ac:dyDescent="0.25">
      <c r="B22" s="226"/>
      <c r="C22" s="235" t="s">
        <v>97</v>
      </c>
      <c r="D22" s="236"/>
      <c r="E22" s="237"/>
      <c r="F22" s="230">
        <f>IF(E8="","",VLOOKUP(E8,ALL!C3:BA120,16,0))</f>
        <v>11000</v>
      </c>
      <c r="G22" s="234">
        <v>22</v>
      </c>
      <c r="H22" s="232"/>
      <c r="I22" s="233">
        <f>F22*G22</f>
        <v>242000</v>
      </c>
    </row>
    <row r="23" spans="2:9" x14ac:dyDescent="0.25">
      <c r="B23" s="226"/>
      <c r="C23" s="227" t="s">
        <v>346</v>
      </c>
      <c r="D23" s="228"/>
      <c r="E23" s="229"/>
      <c r="F23" s="238"/>
      <c r="G23" s="234"/>
      <c r="H23" s="232"/>
      <c r="I23" s="233">
        <f>IF($E$8="","",VLOOKUP($E$8,ALL!$C$3:$BA$119,19,0))</f>
        <v>400000</v>
      </c>
    </row>
    <row r="24" spans="2:9" x14ac:dyDescent="0.25">
      <c r="B24" s="513" t="s">
        <v>347</v>
      </c>
      <c r="C24" s="528"/>
      <c r="D24" s="528"/>
      <c r="E24" s="528"/>
      <c r="F24" s="514"/>
      <c r="G24" s="514"/>
      <c r="H24" s="515"/>
      <c r="I24" s="242">
        <f>SUM(I15:I23)</f>
        <v>2726000</v>
      </c>
    </row>
    <row r="25" spans="2:9" x14ac:dyDescent="0.25">
      <c r="B25" s="266"/>
      <c r="C25" s="243" t="s">
        <v>17</v>
      </c>
      <c r="D25" s="240"/>
      <c r="E25" s="241"/>
      <c r="F25" s="244"/>
      <c r="G25" s="244"/>
      <c r="H25" s="244"/>
      <c r="I25" s="233">
        <f>IF($E$8="","",VLOOKUP($E$8,ALL!$C$3:$BA$119,22,0))</f>
        <v>0</v>
      </c>
    </row>
    <row r="26" spans="2:9" x14ac:dyDescent="0.25">
      <c r="B26" s="266"/>
      <c r="C26" s="245" t="s">
        <v>348</v>
      </c>
      <c r="D26" s="239"/>
      <c r="E26" s="246"/>
      <c r="F26" s="244"/>
      <c r="G26" s="244"/>
      <c r="H26" s="244"/>
      <c r="I26" s="233">
        <f>IF($E$8="","",VLOOKUP($E$8,ALL!$C$3:$BA$119,25,0))</f>
        <v>0</v>
      </c>
    </row>
    <row r="27" spans="2:9" x14ac:dyDescent="0.25">
      <c r="B27" s="266"/>
      <c r="C27" s="245" t="s">
        <v>349</v>
      </c>
      <c r="D27" s="239"/>
      <c r="E27" s="246"/>
      <c r="F27" s="244"/>
      <c r="G27" s="244"/>
      <c r="H27" s="244"/>
      <c r="I27" s="233">
        <f>IF($E$8="","",VLOOKUP($E$8,ALL!$C$3:$BA$119,28,0))</f>
        <v>0</v>
      </c>
    </row>
    <row r="28" spans="2:9" x14ac:dyDescent="0.25">
      <c r="B28" s="266"/>
      <c r="C28" s="245" t="s">
        <v>24</v>
      </c>
      <c r="D28" s="239"/>
      <c r="E28" s="246"/>
      <c r="F28" s="244"/>
      <c r="G28" s="244"/>
      <c r="H28" s="244"/>
      <c r="I28" s="233">
        <f>IF($E$8="","",VLOOKUP($E$8,ALL!$C$3:$BA$119,29,0))</f>
        <v>0</v>
      </c>
    </row>
    <row r="29" spans="2:9" x14ac:dyDescent="0.25">
      <c r="B29" s="513" t="s">
        <v>350</v>
      </c>
      <c r="C29" s="514"/>
      <c r="D29" s="514"/>
      <c r="E29" s="514"/>
      <c r="F29" s="514"/>
      <c r="G29" s="514"/>
      <c r="H29" s="515"/>
      <c r="I29" s="242">
        <f>SUM(I25:I28)</f>
        <v>0</v>
      </c>
    </row>
    <row r="30" spans="2:9" x14ac:dyDescent="0.25">
      <c r="B30" s="226"/>
      <c r="C30" s="516" t="s">
        <v>351</v>
      </c>
      <c r="D30" s="517"/>
      <c r="E30" s="517"/>
      <c r="F30" s="517"/>
      <c r="G30" s="517"/>
      <c r="H30" s="518"/>
      <c r="I30" s="233">
        <f>IF($E$8="","",VLOOKUP($E$8,ALL!$C$3:$BA$119,33,0))</f>
        <v>0</v>
      </c>
    </row>
    <row r="31" spans="2:9" x14ac:dyDescent="0.25">
      <c r="B31" s="226"/>
      <c r="C31" s="516" t="s">
        <v>352</v>
      </c>
      <c r="D31" s="517"/>
      <c r="E31" s="517"/>
      <c r="F31" s="517"/>
      <c r="G31" s="517"/>
      <c r="H31" s="518"/>
      <c r="I31" s="233">
        <f>IF($E$8="","",VLOOKUP($E$8,ALL!$C$3:$BA$119,36,0))</f>
        <v>0</v>
      </c>
    </row>
    <row r="32" spans="2:9" x14ac:dyDescent="0.25">
      <c r="B32" s="226"/>
      <c r="C32" s="516" t="s">
        <v>353</v>
      </c>
      <c r="D32" s="517"/>
      <c r="E32" s="517"/>
      <c r="F32" s="517"/>
      <c r="G32" s="517"/>
      <c r="H32" s="518"/>
      <c r="I32" s="233">
        <f>IF($E$8="","",VLOOKUP($E$8,ALL!$C$3:$BA$119,39,0))</f>
        <v>0</v>
      </c>
    </row>
    <row r="33" spans="2:9" x14ac:dyDescent="0.25">
      <c r="B33" s="226"/>
      <c r="C33" s="516" t="s">
        <v>354</v>
      </c>
      <c r="D33" s="517"/>
      <c r="E33" s="517"/>
      <c r="F33" s="517"/>
      <c r="G33" s="517"/>
      <c r="H33" s="518"/>
      <c r="I33" s="233">
        <f>IF($E$8="","",VLOOKUP($E$8,ALL!$C$3:$BA$119,42,0))</f>
        <v>0</v>
      </c>
    </row>
    <row r="34" spans="2:9" x14ac:dyDescent="0.25">
      <c r="B34" s="519" t="s">
        <v>355</v>
      </c>
      <c r="C34" s="520"/>
      <c r="D34" s="520"/>
      <c r="E34" s="520"/>
      <c r="F34" s="520"/>
      <c r="G34" s="520"/>
      <c r="H34" s="521"/>
      <c r="I34" s="242">
        <f>SUM(I30:I33)</f>
        <v>0</v>
      </c>
    </row>
    <row r="35" spans="2:9" x14ac:dyDescent="0.25">
      <c r="B35" s="519" t="s">
        <v>356</v>
      </c>
      <c r="C35" s="520"/>
      <c r="D35" s="520"/>
      <c r="E35" s="520"/>
      <c r="F35" s="520"/>
      <c r="G35" s="520"/>
      <c r="H35" s="521"/>
      <c r="I35" s="242">
        <f>I24+I29-I34</f>
        <v>2726000</v>
      </c>
    </row>
    <row r="36" spans="2:9" x14ac:dyDescent="0.25">
      <c r="B36" s="226"/>
      <c r="C36" s="243" t="s">
        <v>312</v>
      </c>
      <c r="D36" s="247"/>
      <c r="E36" s="247"/>
      <c r="F36" s="247"/>
      <c r="G36" s="247"/>
      <c r="H36" s="248"/>
      <c r="I36" s="233"/>
    </row>
    <row r="37" spans="2:9" x14ac:dyDescent="0.25">
      <c r="B37" s="226"/>
      <c r="C37" s="243" t="s">
        <v>302</v>
      </c>
      <c r="D37" s="247"/>
      <c r="E37" s="247"/>
      <c r="F37" s="247"/>
      <c r="G37" s="247"/>
      <c r="H37" s="248"/>
      <c r="I37" s="305"/>
    </row>
    <row r="38" spans="2:9" x14ac:dyDescent="0.25">
      <c r="B38" s="226"/>
      <c r="C38" s="243" t="s">
        <v>303</v>
      </c>
      <c r="D38" s="247"/>
      <c r="E38" s="247"/>
      <c r="F38" s="247"/>
      <c r="G38" s="247"/>
      <c r="H38" s="248"/>
      <c r="I38" s="298">
        <v>15000</v>
      </c>
    </row>
    <row r="39" spans="2:9" x14ac:dyDescent="0.25">
      <c r="B39" s="226"/>
      <c r="C39" s="243" t="s">
        <v>304</v>
      </c>
      <c r="D39" s="247"/>
      <c r="E39" s="247"/>
      <c r="F39" s="247"/>
      <c r="G39" s="247"/>
      <c r="H39" s="248"/>
      <c r="I39" s="305"/>
    </row>
    <row r="40" spans="2:9" x14ac:dyDescent="0.25">
      <c r="B40" s="226"/>
      <c r="C40" s="243" t="s">
        <v>305</v>
      </c>
      <c r="D40" s="247"/>
      <c r="E40" s="247"/>
      <c r="F40" s="247"/>
      <c r="G40" s="247"/>
      <c r="H40" s="248"/>
      <c r="I40" s="128">
        <v>0</v>
      </c>
    </row>
    <row r="41" spans="2:9" x14ac:dyDescent="0.25">
      <c r="B41" s="226"/>
      <c r="C41" s="243" t="s">
        <v>306</v>
      </c>
      <c r="D41" s="247"/>
      <c r="E41" s="247"/>
      <c r="F41" s="247"/>
      <c r="G41" s="247"/>
      <c r="H41" s="248"/>
      <c r="I41" s="127">
        <v>0</v>
      </c>
    </row>
    <row r="42" spans="2:9" x14ac:dyDescent="0.25">
      <c r="B42" s="513" t="s">
        <v>355</v>
      </c>
      <c r="C42" s="514"/>
      <c r="D42" s="514"/>
      <c r="E42" s="514"/>
      <c r="F42" s="514"/>
      <c r="G42" s="514"/>
      <c r="H42" s="515"/>
      <c r="I42" s="242">
        <f>SUM(I36:I41)</f>
        <v>15000</v>
      </c>
    </row>
    <row r="43" spans="2:9" x14ac:dyDescent="0.25">
      <c r="B43" s="513" t="s">
        <v>357</v>
      </c>
      <c r="C43" s="514"/>
      <c r="D43" s="514"/>
      <c r="E43" s="514"/>
      <c r="F43" s="514"/>
      <c r="G43" s="514"/>
      <c r="H43" s="515"/>
      <c r="I43" s="242">
        <f>I35-I42</f>
        <v>2711000</v>
      </c>
    </row>
    <row r="44" spans="2:9" x14ac:dyDescent="0.25">
      <c r="B44" s="215"/>
      <c r="C44" s="101"/>
      <c r="D44" s="101"/>
      <c r="E44" s="267"/>
      <c r="F44" s="101"/>
      <c r="G44" s="101"/>
      <c r="H44" s="101"/>
      <c r="I44" s="249"/>
    </row>
    <row r="45" spans="2:9" x14ac:dyDescent="0.25">
      <c r="B45" s="250" t="s">
        <v>489</v>
      </c>
      <c r="C45" s="101"/>
      <c r="D45" s="101"/>
      <c r="E45" s="267"/>
      <c r="F45" s="101"/>
      <c r="G45" s="268"/>
      <c r="H45" s="268"/>
      <c r="I45" s="251"/>
    </row>
    <row r="46" spans="2:9" x14ac:dyDescent="0.25">
      <c r="B46" s="215"/>
      <c r="C46" s="101"/>
      <c r="D46" s="101"/>
      <c r="E46" s="267"/>
      <c r="F46" s="267"/>
      <c r="G46" s="267"/>
      <c r="H46" s="267"/>
      <c r="I46" s="252"/>
    </row>
    <row r="47" spans="2:9" x14ac:dyDescent="0.25">
      <c r="B47" s="215"/>
      <c r="C47" s="101"/>
      <c r="D47" s="101"/>
      <c r="E47" s="267"/>
      <c r="F47" s="267"/>
      <c r="G47" s="267"/>
      <c r="H47" s="267"/>
      <c r="I47" s="252"/>
    </row>
    <row r="48" spans="2:9" x14ac:dyDescent="0.25">
      <c r="B48" s="215"/>
      <c r="C48" s="101"/>
      <c r="D48" s="101"/>
      <c r="E48" s="267"/>
      <c r="F48" s="267"/>
      <c r="G48" s="267"/>
      <c r="H48" s="267"/>
      <c r="I48" s="252"/>
    </row>
    <row r="49" spans="2:9" x14ac:dyDescent="0.25">
      <c r="B49" s="220" t="s">
        <v>358</v>
      </c>
      <c r="C49" s="101"/>
      <c r="D49" s="101"/>
      <c r="E49" s="269"/>
      <c r="H49" s="269" t="s">
        <v>359</v>
      </c>
      <c r="I49" s="252"/>
    </row>
    <row r="50" spans="2:9" ht="15.75" thickBot="1" x14ac:dyDescent="0.3">
      <c r="B50" s="253" t="s">
        <v>360</v>
      </c>
      <c r="C50" s="254"/>
      <c r="D50" s="254"/>
      <c r="E50" s="255"/>
      <c r="F50" s="254"/>
      <c r="G50" s="254"/>
      <c r="H50" s="255" t="s">
        <v>361</v>
      </c>
      <c r="I50" s="256"/>
    </row>
  </sheetData>
  <mergeCells count="14">
    <mergeCell ref="B29:H29"/>
    <mergeCell ref="C14:E14"/>
    <mergeCell ref="C18:E18"/>
    <mergeCell ref="C19:E19"/>
    <mergeCell ref="C20:E20"/>
    <mergeCell ref="B24:H24"/>
    <mergeCell ref="B42:H42"/>
    <mergeCell ref="B43:H43"/>
    <mergeCell ref="C30:H30"/>
    <mergeCell ref="C31:H31"/>
    <mergeCell ref="C32:H32"/>
    <mergeCell ref="C33:H33"/>
    <mergeCell ref="B34:H34"/>
    <mergeCell ref="B35:H35"/>
  </mergeCells>
  <printOptions horizontalCentered="1"/>
  <pageMargins left="0.7" right="0.7" top="0.75" bottom="0.75" header="0.3" footer="0.3"/>
  <pageSetup paperSize="10000" scale="80"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14"/>
  <sheetViews>
    <sheetView workbookViewId="0">
      <selection activeCell="N9" sqref="N9"/>
    </sheetView>
  </sheetViews>
  <sheetFormatPr defaultRowHeight="15" x14ac:dyDescent="0.25"/>
  <cols>
    <col min="1" max="1" width="6.28515625" customWidth="1"/>
    <col min="2" max="2" width="19.85546875" customWidth="1"/>
    <col min="3" max="3" width="9.140625" hidden="1" customWidth="1"/>
    <col min="4" max="4" width="12.7109375" hidden="1" customWidth="1"/>
    <col min="5" max="7" width="9.140625" hidden="1" customWidth="1"/>
    <col min="8" max="8" width="11.5703125" customWidth="1"/>
    <col min="9" max="9" width="11" customWidth="1"/>
    <col min="10" max="10" width="10.28515625" customWidth="1"/>
    <col min="11" max="11" width="10.5703125" customWidth="1"/>
    <col min="12" max="12" width="9.28515625" customWidth="1"/>
    <col min="13" max="13" width="10.42578125" customWidth="1"/>
    <col min="14" max="14" width="13.85546875" customWidth="1"/>
    <col min="15" max="15" width="10.7109375" customWidth="1"/>
    <col min="16" max="16" width="11.28515625" customWidth="1"/>
    <col min="17" max="17" width="15.42578125" customWidth="1"/>
  </cols>
  <sheetData>
    <row r="1" spans="1:17" ht="15.75" x14ac:dyDescent="0.25">
      <c r="A1" s="543" t="s">
        <v>120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4" t="s">
        <v>488</v>
      </c>
      <c r="Q1" s="544"/>
    </row>
    <row r="2" spans="1:17" ht="15.75" x14ac:dyDescent="0.25">
      <c r="A2" s="543" t="s">
        <v>494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156"/>
      <c r="Q2" s="156"/>
    </row>
    <row r="3" spans="1:17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1:17" ht="36.75" customHeight="1" x14ac:dyDescent="0.25">
      <c r="A4" s="25" t="s">
        <v>0</v>
      </c>
      <c r="B4" s="25" t="s">
        <v>1</v>
      </c>
      <c r="C4" s="25" t="s">
        <v>2</v>
      </c>
      <c r="D4" s="25" t="s">
        <v>3</v>
      </c>
      <c r="E4" s="26" t="s">
        <v>4</v>
      </c>
      <c r="F4" s="26" t="s">
        <v>5</v>
      </c>
      <c r="G4" s="26" t="s">
        <v>6</v>
      </c>
      <c r="H4" s="27" t="s">
        <v>7</v>
      </c>
      <c r="I4" s="25" t="s">
        <v>8</v>
      </c>
      <c r="J4" s="25" t="s">
        <v>84</v>
      </c>
      <c r="K4" s="25" t="s">
        <v>9</v>
      </c>
      <c r="L4" s="25" t="s">
        <v>10</v>
      </c>
      <c r="M4" s="25" t="s">
        <v>11</v>
      </c>
      <c r="N4" s="25" t="s">
        <v>12</v>
      </c>
      <c r="O4" s="25" t="s">
        <v>25</v>
      </c>
      <c r="P4" s="25" t="s">
        <v>124</v>
      </c>
      <c r="Q4" s="25" t="s">
        <v>15</v>
      </c>
    </row>
    <row r="5" spans="1:17" x14ac:dyDescent="0.25">
      <c r="A5" s="59">
        <v>1</v>
      </c>
      <c r="B5" s="60" t="str">
        <f>ALL!C119</f>
        <v>Eri Erviana S.Pd.</v>
      </c>
      <c r="C5" s="60"/>
      <c r="D5" s="61" t="s">
        <v>69</v>
      </c>
      <c r="E5" s="60"/>
      <c r="F5" s="60"/>
      <c r="G5" s="60"/>
      <c r="H5" s="61">
        <f>ALL!K119</f>
        <v>1730000</v>
      </c>
      <c r="I5" s="54">
        <f>ALL!L119</f>
        <v>0</v>
      </c>
      <c r="J5" s="60">
        <f>ALL!M119</f>
        <v>50000</v>
      </c>
      <c r="K5" s="121">
        <f>ALL!N119</f>
        <v>0</v>
      </c>
      <c r="L5" s="61">
        <f>ALL!O119</f>
        <v>0</v>
      </c>
      <c r="M5" s="60">
        <f>ALL!P119</f>
        <v>32500</v>
      </c>
      <c r="N5" s="28">
        <f>ALL!T119</f>
        <v>0</v>
      </c>
      <c r="O5" s="28">
        <f>ALL!AF119</f>
        <v>0</v>
      </c>
      <c r="P5" s="28">
        <f>ALL!AS119</f>
        <v>0</v>
      </c>
      <c r="Q5" s="62">
        <f>ALL!AT119</f>
        <v>1812500</v>
      </c>
    </row>
    <row r="6" spans="1:17" x14ac:dyDescent="0.25">
      <c r="A6" s="59">
        <v>2</v>
      </c>
      <c r="B6" s="60" t="str">
        <f>ALL!C120</f>
        <v>Sri Rohmatun S.Pd.</v>
      </c>
      <c r="C6" s="60"/>
      <c r="D6" s="61" t="s">
        <v>69</v>
      </c>
      <c r="E6" s="60"/>
      <c r="F6" s="60"/>
      <c r="G6" s="60"/>
      <c r="H6" s="61">
        <f>ALL!K120</f>
        <v>1730000</v>
      </c>
      <c r="I6" s="54">
        <f>ALL!L120</f>
        <v>0</v>
      </c>
      <c r="J6" s="60">
        <f>ALL!M120</f>
        <v>50000</v>
      </c>
      <c r="K6" s="121">
        <f>ALL!N120</f>
        <v>86500</v>
      </c>
      <c r="L6" s="61">
        <f>ALL!O120</f>
        <v>69200</v>
      </c>
      <c r="M6" s="60">
        <f>ALL!P120</f>
        <v>32500</v>
      </c>
      <c r="N6" s="28">
        <f>ALL!T120</f>
        <v>160600</v>
      </c>
      <c r="O6" s="28">
        <f>ALL!AF120</f>
        <v>0</v>
      </c>
      <c r="P6" s="28">
        <f>ALL!AS120</f>
        <v>0</v>
      </c>
      <c r="Q6" s="62">
        <f>ALL!AT120</f>
        <v>2128800</v>
      </c>
    </row>
    <row r="7" spans="1:17" x14ac:dyDescent="0.25">
      <c r="A7" s="152"/>
      <c r="B7" s="63"/>
      <c r="C7" s="48"/>
      <c r="D7" s="48"/>
      <c r="E7" s="48"/>
      <c r="F7" s="48"/>
      <c r="G7" s="48"/>
      <c r="H7" s="153"/>
      <c r="I7" s="154"/>
      <c r="J7" s="48"/>
      <c r="K7" s="48"/>
      <c r="L7" s="48"/>
      <c r="M7" s="48"/>
      <c r="N7" s="48"/>
      <c r="O7" s="48"/>
      <c r="P7" s="48"/>
      <c r="Q7" s="155">
        <f>SUM(Q5:Q6)</f>
        <v>3941300</v>
      </c>
    </row>
    <row r="8" spans="1:17" x14ac:dyDescent="0.25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512" t="s">
        <v>489</v>
      </c>
      <c r="O8" s="48"/>
      <c r="P8" s="48"/>
      <c r="Q8" s="48"/>
    </row>
    <row r="9" spans="1:17" x14ac:dyDescent="0.2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162" t="s">
        <v>326</v>
      </c>
      <c r="O9" s="48"/>
      <c r="P9" s="48"/>
      <c r="Q9" s="48"/>
    </row>
    <row r="10" spans="1:17" x14ac:dyDescent="0.2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162" t="s">
        <v>325</v>
      </c>
      <c r="O10" s="48"/>
      <c r="P10" s="48"/>
      <c r="Q10" s="48"/>
    </row>
    <row r="11" spans="1:17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162"/>
      <c r="O11" s="48"/>
      <c r="P11" s="48"/>
      <c r="Q11" s="48"/>
    </row>
    <row r="12" spans="1:17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162"/>
      <c r="O12" s="48"/>
      <c r="P12" s="48"/>
      <c r="Q12" s="48"/>
    </row>
    <row r="13" spans="1:17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162"/>
      <c r="O13" s="48"/>
      <c r="P13" s="48"/>
      <c r="Q13" s="48"/>
    </row>
    <row r="14" spans="1:17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163" t="s">
        <v>107</v>
      </c>
      <c r="O14" s="48"/>
      <c r="P14" s="48"/>
      <c r="Q14" s="48"/>
    </row>
    <row r="15" spans="1:17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162"/>
      <c r="O15" s="48"/>
      <c r="P15" s="48"/>
      <c r="Q15" s="48"/>
    </row>
    <row r="16" spans="1:17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162" t="s">
        <v>323</v>
      </c>
      <c r="O16" s="48"/>
      <c r="P16" s="48"/>
      <c r="Q16" s="48"/>
    </row>
    <row r="17" spans="1:17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162" t="s">
        <v>322</v>
      </c>
      <c r="O17" s="48"/>
      <c r="P17" s="48"/>
      <c r="Q17" s="48"/>
    </row>
    <row r="18" spans="1:17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162"/>
      <c r="O18" s="48"/>
      <c r="P18" s="48"/>
      <c r="Q18" s="48"/>
    </row>
    <row r="19" spans="1:17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162"/>
      <c r="O19" s="48"/>
      <c r="P19" s="48"/>
      <c r="Q19" s="48"/>
    </row>
    <row r="20" spans="1:17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162"/>
      <c r="O20" s="48"/>
      <c r="P20" s="48"/>
      <c r="Q20" s="48"/>
    </row>
    <row r="21" spans="1:17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163" t="s">
        <v>106</v>
      </c>
      <c r="O21" s="48"/>
      <c r="P21" s="48"/>
      <c r="Q21" s="48"/>
    </row>
    <row r="22" spans="1:17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82"/>
      <c r="O22" s="48"/>
      <c r="P22" s="48"/>
      <c r="Q22" s="48"/>
    </row>
    <row r="23" spans="1:17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162" t="s">
        <v>324</v>
      </c>
      <c r="O23" s="48"/>
      <c r="P23" s="48"/>
      <c r="Q23" s="48"/>
    </row>
    <row r="24" spans="1:17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162" t="s">
        <v>121</v>
      </c>
      <c r="O24" s="48"/>
      <c r="P24" s="48"/>
      <c r="Q24" s="48"/>
    </row>
    <row r="25" spans="1:17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162"/>
      <c r="O25" s="48"/>
      <c r="P25" s="48"/>
      <c r="Q25" s="48"/>
    </row>
    <row r="26" spans="1:17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162"/>
      <c r="O26" s="48"/>
      <c r="P26" s="48"/>
      <c r="Q26" s="48"/>
    </row>
    <row r="27" spans="1:17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162"/>
      <c r="O27" s="48"/>
      <c r="P27" s="48"/>
      <c r="Q27" s="48"/>
    </row>
    <row r="28" spans="1:17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163" t="s">
        <v>327</v>
      </c>
      <c r="O28" s="48"/>
      <c r="P28" s="48"/>
      <c r="Q28" s="48"/>
    </row>
    <row r="29" spans="1:17" x14ac:dyDescent="0.2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</row>
    <row r="30" spans="1:17" x14ac:dyDescent="0.2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spans="1:17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</row>
    <row r="32" spans="1:17" x14ac:dyDescent="0.2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x14ac:dyDescent="0.2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x14ac:dyDescent="0.2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114" spans="17:17" x14ac:dyDescent="0.25">
      <c r="Q114">
        <f>AA66</f>
        <v>0</v>
      </c>
    </row>
  </sheetData>
  <mergeCells count="3">
    <mergeCell ref="P1:Q1"/>
    <mergeCell ref="A1:O1"/>
    <mergeCell ref="A2:O2"/>
  </mergeCells>
  <printOptions horizontalCentered="1"/>
  <pageMargins left="0.23622047244094491" right="0.23622047244094491" top="0.74803149606299213" bottom="0.74803149606299213" header="0.31496062992125984" footer="0.31496062992125984"/>
  <pageSetup paperSize="10000" scale="90" orientation="landscape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50"/>
  <sheetViews>
    <sheetView topLeftCell="A221" zoomScale="73" zoomScaleNormal="73" workbookViewId="0">
      <selection activeCell="G229" sqref="E229:G229"/>
    </sheetView>
  </sheetViews>
  <sheetFormatPr defaultRowHeight="15" x14ac:dyDescent="0.25"/>
  <cols>
    <col min="2" max="2" width="24.28515625" customWidth="1"/>
    <col min="3" max="3" width="16.140625" customWidth="1"/>
    <col min="4" max="4" width="12.42578125" customWidth="1"/>
    <col min="5" max="5" width="14.5703125" customWidth="1"/>
    <col min="6" max="6" width="14.42578125" customWidth="1"/>
    <col min="7" max="7" width="19.85546875" customWidth="1"/>
    <col min="8" max="8" width="14.28515625" bestFit="1" customWidth="1"/>
    <col min="9" max="10" width="15.28515625" bestFit="1" customWidth="1"/>
    <col min="12" max="12" width="30.7109375" customWidth="1"/>
    <col min="13" max="13" width="13" bestFit="1" customWidth="1"/>
    <col min="14" max="14" width="17.42578125" bestFit="1" customWidth="1"/>
    <col min="15" max="15" width="16.7109375" customWidth="1"/>
    <col min="16" max="19" width="17.42578125" bestFit="1" customWidth="1"/>
    <col min="20" max="20" width="14.5703125" customWidth="1"/>
    <col min="21" max="21" width="11.85546875" bestFit="1" customWidth="1"/>
  </cols>
  <sheetData>
    <row r="1" spans="1:21" x14ac:dyDescent="0.25">
      <c r="A1" s="139" t="s">
        <v>0</v>
      </c>
      <c r="B1" s="139" t="s">
        <v>310</v>
      </c>
      <c r="C1" s="140" t="s">
        <v>311</v>
      </c>
      <c r="D1" s="140" t="s">
        <v>312</v>
      </c>
      <c r="E1" s="139" t="s">
        <v>302</v>
      </c>
      <c r="F1" s="139" t="s">
        <v>303</v>
      </c>
      <c r="G1" s="139" t="s">
        <v>304</v>
      </c>
      <c r="H1" s="139" t="s">
        <v>305</v>
      </c>
      <c r="I1" s="139" t="s">
        <v>306</v>
      </c>
      <c r="J1" s="139" t="s">
        <v>313</v>
      </c>
      <c r="K1" s="139" t="s">
        <v>0</v>
      </c>
      <c r="L1" s="139" t="s">
        <v>310</v>
      </c>
      <c r="M1" s="140" t="s">
        <v>311</v>
      </c>
      <c r="N1" s="140" t="s">
        <v>312</v>
      </c>
      <c r="O1" s="139" t="s">
        <v>302</v>
      </c>
      <c r="P1" s="139" t="s">
        <v>303</v>
      </c>
      <c r="Q1" s="139" t="s">
        <v>304</v>
      </c>
      <c r="R1" s="139" t="s">
        <v>305</v>
      </c>
      <c r="S1" s="139" t="s">
        <v>306</v>
      </c>
      <c r="T1" s="139" t="s">
        <v>313</v>
      </c>
    </row>
    <row r="2" spans="1:21" x14ac:dyDescent="0.25">
      <c r="A2" s="103">
        <f>ALL!B4</f>
        <v>1</v>
      </c>
      <c r="B2" s="103" t="str">
        <f>ALL!C4</f>
        <v>Siti Latifah</v>
      </c>
      <c r="C2" s="141">
        <v>2015077142</v>
      </c>
      <c r="D2" s="103">
        <f>ALL!BB4</f>
        <v>200000</v>
      </c>
      <c r="E2" s="105">
        <f>ALL!BC4</f>
        <v>0</v>
      </c>
      <c r="F2" s="103">
        <f>ALL!BD4</f>
        <v>15000</v>
      </c>
      <c r="G2" s="105">
        <f>ALL!BE4</f>
        <v>68178</v>
      </c>
      <c r="H2" s="103">
        <f>ALL!BF4</f>
        <v>100000</v>
      </c>
      <c r="I2" s="105">
        <f>ALL!BG4</f>
        <v>0</v>
      </c>
      <c r="J2" s="105">
        <f>ALL!BH4</f>
        <v>1750322</v>
      </c>
      <c r="K2" s="103">
        <f>ALL!B4</f>
        <v>1</v>
      </c>
      <c r="L2" s="103" t="str">
        <f>ALL!C4</f>
        <v>Siti Latifah</v>
      </c>
      <c r="M2" s="103">
        <f>C2</f>
        <v>2015077142</v>
      </c>
      <c r="N2" s="103">
        <f>ALL!BB4</f>
        <v>200000</v>
      </c>
      <c r="O2" s="105">
        <f>ALL!BC4</f>
        <v>0</v>
      </c>
      <c r="P2" s="105">
        <f>ALL!BD4</f>
        <v>15000</v>
      </c>
      <c r="Q2" s="105">
        <f>ALL!BE4</f>
        <v>68178</v>
      </c>
      <c r="R2" s="103">
        <f>ALL!BF4</f>
        <v>100000</v>
      </c>
      <c r="S2" s="105">
        <f>ALL!BG4</f>
        <v>0</v>
      </c>
      <c r="T2" s="105">
        <f>ALL!BH4</f>
        <v>1750322</v>
      </c>
      <c r="U2" s="2"/>
    </row>
    <row r="3" spans="1:21" x14ac:dyDescent="0.25">
      <c r="A3" s="103">
        <f>ALL!B5</f>
        <v>2</v>
      </c>
      <c r="B3" s="103" t="str">
        <f>ALL!C5</f>
        <v>Ulwiyatur Rif'ah, S.E</v>
      </c>
      <c r="C3" s="141">
        <v>3015128177</v>
      </c>
      <c r="D3" s="103">
        <f>ALL!BB5</f>
        <v>100000</v>
      </c>
      <c r="E3" s="105">
        <f>ALL!BC5</f>
        <v>0</v>
      </c>
      <c r="F3" s="103">
        <f>ALL!BD5</f>
        <v>15000</v>
      </c>
      <c r="G3" s="105">
        <f>ALL!BE5</f>
        <v>113630</v>
      </c>
      <c r="H3" s="103">
        <f>ALL!BF5</f>
        <v>200000</v>
      </c>
      <c r="I3" s="105">
        <f>ALL!BG5</f>
        <v>0</v>
      </c>
      <c r="J3" s="105">
        <f>ALL!BH5</f>
        <v>2094470</v>
      </c>
      <c r="K3" s="103">
        <f>ALL!B5</f>
        <v>2</v>
      </c>
      <c r="L3" s="103" t="str">
        <f>ALL!C5</f>
        <v>Ulwiyatur Rif'ah, S.E</v>
      </c>
      <c r="M3" s="103">
        <f t="shared" ref="M3:M14" si="0">C3</f>
        <v>3015128177</v>
      </c>
      <c r="N3" s="103">
        <f>ALL!BB5</f>
        <v>100000</v>
      </c>
      <c r="O3" s="105">
        <f>ALL!BC5</f>
        <v>0</v>
      </c>
      <c r="P3" s="105">
        <f>ALL!BD5</f>
        <v>15000</v>
      </c>
      <c r="Q3" s="105">
        <f>ALL!BE5</f>
        <v>113630</v>
      </c>
      <c r="R3" s="103">
        <f>ALL!BF5</f>
        <v>200000</v>
      </c>
      <c r="S3" s="105">
        <f>ALL!BG5</f>
        <v>0</v>
      </c>
      <c r="T3" s="105">
        <f>ALL!BH5</f>
        <v>2094470</v>
      </c>
    </row>
    <row r="4" spans="1:21" x14ac:dyDescent="0.25">
      <c r="A4" s="103">
        <f>ALL!B6</f>
        <v>3</v>
      </c>
      <c r="B4" s="103" t="str">
        <f>ALL!C6</f>
        <v>Rini Shohihah, S.E</v>
      </c>
      <c r="C4" s="141">
        <v>2015077061</v>
      </c>
      <c r="D4" s="103">
        <f>ALL!BB6</f>
        <v>300000</v>
      </c>
      <c r="E4" s="105">
        <f>ALL!BC6</f>
        <v>996500</v>
      </c>
      <c r="F4" s="103">
        <f>ALL!BD6</f>
        <v>15000</v>
      </c>
      <c r="G4" s="105">
        <f>ALL!BE6</f>
        <v>92687</v>
      </c>
      <c r="H4" s="103">
        <f>ALL!BF6</f>
        <v>200000</v>
      </c>
      <c r="I4" s="105">
        <f>ALL!BG6</f>
        <v>0</v>
      </c>
      <c r="J4" s="105">
        <f>ALL!BH6</f>
        <v>760813</v>
      </c>
      <c r="K4" s="103">
        <f>ALL!B6</f>
        <v>3</v>
      </c>
      <c r="L4" s="103" t="str">
        <f>ALL!C6</f>
        <v>Rini Shohihah, S.E</v>
      </c>
      <c r="M4" s="103">
        <f t="shared" si="0"/>
        <v>2015077061</v>
      </c>
      <c r="N4" s="103">
        <f>ALL!BB6</f>
        <v>300000</v>
      </c>
      <c r="O4" s="105">
        <f>ALL!BC6</f>
        <v>996500</v>
      </c>
      <c r="P4" s="105">
        <f>ALL!BD6</f>
        <v>15000</v>
      </c>
      <c r="Q4" s="105">
        <f>ALL!BE6</f>
        <v>92687</v>
      </c>
      <c r="R4" s="103">
        <f>ALL!BF6</f>
        <v>200000</v>
      </c>
      <c r="S4" s="105">
        <f>ALL!BG6</f>
        <v>0</v>
      </c>
      <c r="T4" s="105">
        <f>ALL!BH6</f>
        <v>760813</v>
      </c>
    </row>
    <row r="5" spans="1:21" x14ac:dyDescent="0.25">
      <c r="A5" s="103">
        <f>ALL!B7</f>
        <v>4</v>
      </c>
      <c r="B5" s="103" t="str">
        <f>ALL!C7</f>
        <v>Winda Zuliyaningsih</v>
      </c>
      <c r="C5" s="141">
        <v>3015169876</v>
      </c>
      <c r="D5" s="103">
        <f>ALL!BB7</f>
        <v>0</v>
      </c>
      <c r="E5" s="105">
        <f>ALL!BC7</f>
        <v>0</v>
      </c>
      <c r="F5" s="103">
        <f>ALL!BD7</f>
        <v>15000</v>
      </c>
      <c r="G5" s="105">
        <f>ALL!BE7</f>
        <v>0</v>
      </c>
      <c r="H5" s="103">
        <f>ALL!BF7</f>
        <v>100000</v>
      </c>
      <c r="I5" s="105">
        <f>ALL!BG7</f>
        <v>0</v>
      </c>
      <c r="J5" s="105">
        <f>ALL!BH7</f>
        <v>1497700</v>
      </c>
      <c r="K5" s="103">
        <f>ALL!B7</f>
        <v>4</v>
      </c>
      <c r="L5" s="103" t="str">
        <f>ALL!C7</f>
        <v>Winda Zuliyaningsih</v>
      </c>
      <c r="M5" s="103">
        <f t="shared" si="0"/>
        <v>3015169876</v>
      </c>
      <c r="N5" s="103">
        <f>ALL!BB7</f>
        <v>0</v>
      </c>
      <c r="O5" s="105">
        <f>ALL!BC7</f>
        <v>0</v>
      </c>
      <c r="P5" s="105">
        <f>ALL!BD7</f>
        <v>15000</v>
      </c>
      <c r="Q5" s="105">
        <f>ALL!BE7</f>
        <v>0</v>
      </c>
      <c r="R5" s="103">
        <f>ALL!BF7</f>
        <v>100000</v>
      </c>
      <c r="S5" s="105">
        <f>ALL!BG7</f>
        <v>0</v>
      </c>
      <c r="T5" s="105">
        <f>ALL!BH7</f>
        <v>1497700</v>
      </c>
    </row>
    <row r="6" spans="1:21" x14ac:dyDescent="0.25">
      <c r="A6" s="103">
        <f>ALL!B8</f>
        <v>5</v>
      </c>
      <c r="B6" s="103" t="str">
        <f>ALL!C8</f>
        <v>Nawan Riyan Zufar, S.Pd.</v>
      </c>
      <c r="C6" s="141">
        <v>2093070553</v>
      </c>
      <c r="D6" s="103">
        <f>ALL!BB8</f>
        <v>0</v>
      </c>
      <c r="E6" s="105">
        <f>ALL!BC8</f>
        <v>0</v>
      </c>
      <c r="F6" s="103">
        <f>ALL!BD8</f>
        <v>15000</v>
      </c>
      <c r="G6" s="105">
        <f>ALL!BE8</f>
        <v>0</v>
      </c>
      <c r="H6" s="103">
        <f>ALL!BF8</f>
        <v>200000</v>
      </c>
      <c r="I6" s="105">
        <f>ALL!BG8</f>
        <v>0</v>
      </c>
      <c r="J6" s="105">
        <f>ALL!BH8</f>
        <v>3104600</v>
      </c>
      <c r="K6" s="103">
        <f>ALL!B8</f>
        <v>5</v>
      </c>
      <c r="L6" s="103" t="str">
        <f>ALL!C8</f>
        <v>Nawan Riyan Zufar, S.Pd.</v>
      </c>
      <c r="M6" s="103">
        <f t="shared" si="0"/>
        <v>2093070553</v>
      </c>
      <c r="N6" s="103">
        <f>ALL!BB8</f>
        <v>0</v>
      </c>
      <c r="O6" s="105">
        <f>ALL!BC8</f>
        <v>0</v>
      </c>
      <c r="P6" s="105">
        <f>ALL!BD8</f>
        <v>15000</v>
      </c>
      <c r="Q6" s="105">
        <f>ALL!BE8</f>
        <v>0</v>
      </c>
      <c r="R6" s="103">
        <f>ALL!BF8</f>
        <v>200000</v>
      </c>
      <c r="S6" s="105">
        <f>ALL!BG8</f>
        <v>0</v>
      </c>
      <c r="T6" s="105">
        <f>ALL!BH8</f>
        <v>3104600</v>
      </c>
    </row>
    <row r="7" spans="1:21" x14ac:dyDescent="0.25">
      <c r="A7" s="103">
        <f>ALL!B9</f>
        <v>6</v>
      </c>
      <c r="B7" s="103" t="str">
        <f>ALL!C9</f>
        <v>Rona Faroni, S.Kom</v>
      </c>
      <c r="C7" s="103">
        <v>2015168857</v>
      </c>
      <c r="D7" s="103">
        <f>ALL!BB9</f>
        <v>0</v>
      </c>
      <c r="E7" s="105">
        <f>ALL!BC9</f>
        <v>0</v>
      </c>
      <c r="F7" s="103">
        <f>ALL!BD9</f>
        <v>15000</v>
      </c>
      <c r="G7" s="105">
        <f>ALL!BE9</f>
        <v>0</v>
      </c>
      <c r="H7" s="103">
        <f>ALL!BF9</f>
        <v>0</v>
      </c>
      <c r="I7" s="105">
        <f>ALL!BG9</f>
        <v>0</v>
      </c>
      <c r="J7" s="105">
        <f>ALL!BH9</f>
        <v>2383500</v>
      </c>
      <c r="K7" s="103">
        <f>ALL!B9</f>
        <v>6</v>
      </c>
      <c r="L7" s="103" t="str">
        <f>ALL!C9</f>
        <v>Rona Faroni, S.Kom</v>
      </c>
      <c r="M7" s="103">
        <f t="shared" si="0"/>
        <v>2015168857</v>
      </c>
      <c r="N7" s="103">
        <f>ALL!BB9</f>
        <v>0</v>
      </c>
      <c r="O7" s="105">
        <f>ALL!BC9</f>
        <v>0</v>
      </c>
      <c r="P7" s="105">
        <f>ALL!BD9</f>
        <v>15000</v>
      </c>
      <c r="Q7" s="105">
        <f>ALL!BE9</f>
        <v>0</v>
      </c>
      <c r="R7" s="103">
        <f>ALL!BF9</f>
        <v>0</v>
      </c>
      <c r="S7" s="105">
        <f>ALL!BG9</f>
        <v>0</v>
      </c>
      <c r="T7" s="105">
        <f>ALL!BH9</f>
        <v>2383500</v>
      </c>
    </row>
    <row r="8" spans="1:21" x14ac:dyDescent="0.25">
      <c r="A8" s="103">
        <f>ALL!B10</f>
        <v>7</v>
      </c>
      <c r="B8" s="103" t="str">
        <f>ALL!C10</f>
        <v>Aufal Hadaya, M.Pd</v>
      </c>
      <c r="C8" s="103">
        <v>3015210558</v>
      </c>
      <c r="D8" s="103">
        <f>ALL!BB10</f>
        <v>100000</v>
      </c>
      <c r="E8" s="105">
        <f>ALL!BC10</f>
        <v>0</v>
      </c>
      <c r="F8" s="103">
        <f>ALL!BD10</f>
        <v>15000</v>
      </c>
      <c r="G8" s="105">
        <f>ALL!BE10</f>
        <v>0</v>
      </c>
      <c r="H8" s="103">
        <f>ALL!BF10</f>
        <v>200000</v>
      </c>
      <c r="I8" s="105">
        <f>ALL!BG10</f>
        <v>0</v>
      </c>
      <c r="J8" s="105">
        <f>ALL!BH10</f>
        <v>2425800</v>
      </c>
      <c r="K8" s="103">
        <f>ALL!B10</f>
        <v>7</v>
      </c>
      <c r="L8" s="103" t="str">
        <f>ALL!C10</f>
        <v>Aufal Hadaya, M.Pd</v>
      </c>
      <c r="M8" s="103">
        <f t="shared" si="0"/>
        <v>3015210558</v>
      </c>
      <c r="N8" s="103">
        <f>ALL!BB10</f>
        <v>100000</v>
      </c>
      <c r="O8" s="105">
        <f>ALL!BC10</f>
        <v>0</v>
      </c>
      <c r="P8" s="105">
        <f>ALL!BD10</f>
        <v>15000</v>
      </c>
      <c r="Q8" s="105">
        <f>ALL!BE10</f>
        <v>0</v>
      </c>
      <c r="R8" s="103">
        <f>ALL!BF10</f>
        <v>200000</v>
      </c>
      <c r="S8" s="105">
        <f>ALL!BG10</f>
        <v>0</v>
      </c>
      <c r="T8" s="105">
        <f>ALL!BH10</f>
        <v>2425800</v>
      </c>
    </row>
    <row r="9" spans="1:21" x14ac:dyDescent="0.25">
      <c r="A9" s="103">
        <f>ALL!B11</f>
        <v>8</v>
      </c>
      <c r="B9" s="103" t="str">
        <f>ALL!C11</f>
        <v>Edi Susilo, S. Pd. I</v>
      </c>
      <c r="C9" s="141">
        <v>3015118139</v>
      </c>
      <c r="D9" s="103">
        <f>ALL!BB11</f>
        <v>100000</v>
      </c>
      <c r="E9" s="105">
        <f>ALL!BC11</f>
        <v>1335000</v>
      </c>
      <c r="F9" s="103">
        <f>ALL!BD11</f>
        <v>15000</v>
      </c>
      <c r="G9" s="105">
        <f>ALL!BE11</f>
        <v>92687</v>
      </c>
      <c r="H9" s="103">
        <f>ALL!BF11</f>
        <v>100000</v>
      </c>
      <c r="I9" s="105">
        <f>ALL!BG11</f>
        <v>0</v>
      </c>
      <c r="J9" s="105">
        <f>ALL!BH11</f>
        <v>1961513</v>
      </c>
      <c r="K9" s="103">
        <f>ALL!B11</f>
        <v>8</v>
      </c>
      <c r="L9" s="103" t="str">
        <f>ALL!C11</f>
        <v>Edi Susilo, S. Pd. I</v>
      </c>
      <c r="M9" s="103">
        <f t="shared" si="0"/>
        <v>3015118139</v>
      </c>
      <c r="N9" s="103">
        <f>ALL!BB11</f>
        <v>100000</v>
      </c>
      <c r="O9" s="105">
        <f>ALL!BC11</f>
        <v>1335000</v>
      </c>
      <c r="P9" s="105">
        <f>ALL!BD11</f>
        <v>15000</v>
      </c>
      <c r="Q9" s="105">
        <f>ALL!BE11</f>
        <v>92687</v>
      </c>
      <c r="R9" s="103">
        <f>ALL!BF11</f>
        <v>100000</v>
      </c>
      <c r="S9" s="105">
        <f>ALL!BG11</f>
        <v>0</v>
      </c>
      <c r="T9" s="105">
        <f>ALL!BH11</f>
        <v>1961513</v>
      </c>
    </row>
    <row r="10" spans="1:21" x14ac:dyDescent="0.25">
      <c r="A10" s="103">
        <f>ALL!B12</f>
        <v>9</v>
      </c>
      <c r="B10" s="103" t="str">
        <f>ALL!C12</f>
        <v xml:space="preserve">Khoiril Anam, M.Pd. </v>
      </c>
      <c r="C10" s="141">
        <f>[2]BPD!$C$43</f>
        <v>2068053661</v>
      </c>
      <c r="D10" s="103">
        <f>ALL!BB12</f>
        <v>0</v>
      </c>
      <c r="E10" s="105">
        <f>ALL!BC12</f>
        <v>0</v>
      </c>
      <c r="F10" s="103">
        <f>ALL!BD12</f>
        <v>15000</v>
      </c>
      <c r="G10" s="105">
        <f>ALL!BE12</f>
        <v>0</v>
      </c>
      <c r="H10" s="103">
        <f>ALL!BF12</f>
        <v>200000</v>
      </c>
      <c r="I10" s="105">
        <f>ALL!BG12</f>
        <v>0</v>
      </c>
      <c r="J10" s="105">
        <f>ALL!BH12</f>
        <v>2651000</v>
      </c>
      <c r="K10" s="103">
        <f>ALL!B12</f>
        <v>9</v>
      </c>
      <c r="L10" s="103" t="str">
        <f>ALL!C12</f>
        <v xml:space="preserve">Khoiril Anam, M.Pd. </v>
      </c>
      <c r="M10" s="103">
        <f t="shared" si="0"/>
        <v>2068053661</v>
      </c>
      <c r="N10" s="103">
        <f>ALL!BB12</f>
        <v>0</v>
      </c>
      <c r="O10" s="105">
        <f>ALL!BC12</f>
        <v>0</v>
      </c>
      <c r="P10" s="105">
        <f>ALL!BD12</f>
        <v>15000</v>
      </c>
      <c r="Q10" s="105">
        <f>ALL!BE12</f>
        <v>0</v>
      </c>
      <c r="R10" s="103">
        <f>ALL!BF12</f>
        <v>200000</v>
      </c>
      <c r="S10" s="105">
        <f>ALL!BG12</f>
        <v>0</v>
      </c>
      <c r="T10" s="105">
        <f>ALL!BH12</f>
        <v>2651000</v>
      </c>
    </row>
    <row r="11" spans="1:21" x14ac:dyDescent="0.25">
      <c r="A11" s="103">
        <f>ALL!B13</f>
        <v>10</v>
      </c>
      <c r="B11" s="103" t="str">
        <f>ALL!C13</f>
        <v xml:space="preserve">Mariatul Qibityah, S.Pd. </v>
      </c>
      <c r="C11" s="141">
        <v>3015117981</v>
      </c>
      <c r="D11" s="103">
        <f>ALL!BB13</f>
        <v>300000</v>
      </c>
      <c r="E11" s="105">
        <f>ALL!BC13</f>
        <v>1335000</v>
      </c>
      <c r="F11" s="103">
        <f>ALL!BD13</f>
        <v>15000</v>
      </c>
      <c r="G11" s="105">
        <f>ALL!BE13</f>
        <v>141705</v>
      </c>
      <c r="H11" s="103">
        <f>ALL!BF13</f>
        <v>0</v>
      </c>
      <c r="I11" s="105">
        <f>ALL!BG13</f>
        <v>0</v>
      </c>
      <c r="J11" s="105">
        <f>ALL!BH13</f>
        <v>1412495</v>
      </c>
      <c r="K11" s="103">
        <f>ALL!B13</f>
        <v>10</v>
      </c>
      <c r="L11" s="103" t="str">
        <f>ALL!C13</f>
        <v xml:space="preserve">Mariatul Qibityah, S.Pd. </v>
      </c>
      <c r="M11" s="103">
        <f t="shared" si="0"/>
        <v>3015117981</v>
      </c>
      <c r="N11" s="103">
        <f>ALL!BB13</f>
        <v>300000</v>
      </c>
      <c r="O11" s="105">
        <f>ALL!BC13</f>
        <v>1335000</v>
      </c>
      <c r="P11" s="105">
        <f>ALL!BD13</f>
        <v>15000</v>
      </c>
      <c r="Q11" s="105">
        <f>ALL!BE13</f>
        <v>141705</v>
      </c>
      <c r="R11" s="103">
        <f>ALL!BF13</f>
        <v>0</v>
      </c>
      <c r="S11" s="105">
        <f>ALL!BG13</f>
        <v>0</v>
      </c>
      <c r="T11" s="105">
        <f>ALL!BH13</f>
        <v>1412495</v>
      </c>
    </row>
    <row r="12" spans="1:21" x14ac:dyDescent="0.25">
      <c r="A12" s="103">
        <f>ALL!B14</f>
        <v>11</v>
      </c>
      <c r="B12" s="103" t="str">
        <f>ALL!C14</f>
        <v xml:space="preserve">Rahmat Uki Bahtiar, S.Sy, S.Pd. </v>
      </c>
      <c r="C12" s="141">
        <v>3015118040</v>
      </c>
      <c r="D12" s="103">
        <f>ALL!BB14</f>
        <v>0</v>
      </c>
      <c r="E12" s="105">
        <f>ALL!BC14</f>
        <v>1335000</v>
      </c>
      <c r="F12" s="103">
        <f>ALL!BD14</f>
        <v>15000</v>
      </c>
      <c r="G12" s="105">
        <f>ALL!BE14</f>
        <v>117196</v>
      </c>
      <c r="H12" s="103">
        <f>ALL!BF14</f>
        <v>100000</v>
      </c>
      <c r="I12" s="105">
        <f>ALL!BG14</f>
        <v>0</v>
      </c>
      <c r="J12" s="105">
        <f>ALL!BH14</f>
        <v>1316604</v>
      </c>
      <c r="K12" s="103">
        <f>ALL!B14</f>
        <v>11</v>
      </c>
      <c r="L12" s="103" t="str">
        <f>ALL!C14</f>
        <v xml:space="preserve">Rahmat Uki Bahtiar, S.Sy, S.Pd. </v>
      </c>
      <c r="M12" s="103">
        <f t="shared" si="0"/>
        <v>3015118040</v>
      </c>
      <c r="N12" s="103">
        <f>ALL!BB14</f>
        <v>0</v>
      </c>
      <c r="O12" s="105">
        <f>ALL!BC14</f>
        <v>1335000</v>
      </c>
      <c r="P12" s="105">
        <f>ALL!BD14</f>
        <v>15000</v>
      </c>
      <c r="Q12" s="105">
        <f>ALL!BE14</f>
        <v>117196</v>
      </c>
      <c r="R12" s="103">
        <f>ALL!BF14</f>
        <v>100000</v>
      </c>
      <c r="S12" s="105">
        <f>ALL!BG14</f>
        <v>0</v>
      </c>
      <c r="T12" s="105">
        <f>ALL!BH14</f>
        <v>1316604</v>
      </c>
    </row>
    <row r="13" spans="1:21" x14ac:dyDescent="0.25">
      <c r="A13" s="103">
        <f>ALL!B15</f>
        <v>12</v>
      </c>
      <c r="B13" s="103" t="str">
        <f>ALL!C15</f>
        <v>Desitrillia Nurjannah, S.Pd.</v>
      </c>
      <c r="C13" s="141">
        <v>3015128207</v>
      </c>
      <c r="D13" s="103">
        <f>ALL!BB15</f>
        <v>100000</v>
      </c>
      <c r="E13" s="105">
        <f>ALL!BC15</f>
        <v>1335000</v>
      </c>
      <c r="F13" s="103">
        <f>ALL!BD15</f>
        <v>15000</v>
      </c>
      <c r="G13" s="105">
        <f>ALL!BE15</f>
        <v>92687</v>
      </c>
      <c r="H13" s="103">
        <f>ALL!BF15</f>
        <v>100000</v>
      </c>
      <c r="I13" s="105">
        <f>ALL!BG15</f>
        <v>0</v>
      </c>
      <c r="J13" s="105">
        <f>ALL!BH15</f>
        <v>1148313</v>
      </c>
      <c r="K13" s="103">
        <f>ALL!B15</f>
        <v>12</v>
      </c>
      <c r="L13" s="103" t="str">
        <f>ALL!C15</f>
        <v>Desitrillia Nurjannah, S.Pd.</v>
      </c>
      <c r="M13" s="103">
        <f t="shared" si="0"/>
        <v>3015128207</v>
      </c>
      <c r="N13" s="103">
        <f>ALL!BB15</f>
        <v>100000</v>
      </c>
      <c r="O13" s="105">
        <f>ALL!BC15</f>
        <v>1335000</v>
      </c>
      <c r="P13" s="105">
        <f>ALL!BD15</f>
        <v>15000</v>
      </c>
      <c r="Q13" s="105">
        <f>ALL!BE15</f>
        <v>92687</v>
      </c>
      <c r="R13" s="103">
        <f>ALL!BF15</f>
        <v>100000</v>
      </c>
      <c r="S13" s="105">
        <f>ALL!BG15</f>
        <v>0</v>
      </c>
      <c r="T13" s="105">
        <f>ALL!BH15</f>
        <v>1148313</v>
      </c>
    </row>
    <row r="14" spans="1:21" x14ac:dyDescent="0.25">
      <c r="A14" s="103">
        <f>ALL!B16</f>
        <v>13</v>
      </c>
      <c r="B14" s="103" t="str">
        <f>ALL!C16</f>
        <v>Rizki Margi Tirta Ramadhani, S.Pd.</v>
      </c>
      <c r="C14" s="141">
        <v>3015307993</v>
      </c>
      <c r="D14" s="103">
        <f>ALL!BB16</f>
        <v>0</v>
      </c>
      <c r="E14" s="105">
        <f>ALL!BC16</f>
        <v>0</v>
      </c>
      <c r="F14" s="103">
        <f>ALL!BD16</f>
        <v>15000</v>
      </c>
      <c r="G14" s="105">
        <f>ALL!BE16</f>
        <v>0</v>
      </c>
      <c r="H14" s="103">
        <f>ALL!BF16</f>
        <v>0</v>
      </c>
      <c r="I14" s="105">
        <f>ALL!BG16</f>
        <v>0</v>
      </c>
      <c r="J14" s="105">
        <f>ALL!BH16</f>
        <v>1750400</v>
      </c>
      <c r="K14" s="103">
        <f>ALL!B16</f>
        <v>13</v>
      </c>
      <c r="L14" s="103" t="str">
        <f>ALL!C16</f>
        <v>Rizki Margi Tirta Ramadhani, S.Pd.</v>
      </c>
      <c r="M14" s="103">
        <f t="shared" si="0"/>
        <v>3015307993</v>
      </c>
      <c r="N14" s="103">
        <f>ALL!BB16</f>
        <v>0</v>
      </c>
      <c r="O14" s="105">
        <f>ALL!BC16</f>
        <v>0</v>
      </c>
      <c r="P14" s="105">
        <f>ALL!BD16</f>
        <v>15000</v>
      </c>
      <c r="Q14" s="105">
        <f>ALL!BE16</f>
        <v>0</v>
      </c>
      <c r="R14" s="103">
        <f>ALL!BF16</f>
        <v>0</v>
      </c>
      <c r="S14" s="105">
        <f>ALL!BG16</f>
        <v>0</v>
      </c>
      <c r="T14" s="105">
        <f>ALL!BH16</f>
        <v>1750400</v>
      </c>
    </row>
    <row r="15" spans="1:21" x14ac:dyDescent="0.25">
      <c r="A15" s="103">
        <f>ALL!B17</f>
        <v>14</v>
      </c>
      <c r="B15" s="103" t="str">
        <f>ALL!C17</f>
        <v>Nurun Nahari Syarifah, S.Psi.</v>
      </c>
      <c r="C15" s="141">
        <v>3015118015</v>
      </c>
      <c r="D15" s="103">
        <f>ALL!BB17</f>
        <v>400000</v>
      </c>
      <c r="E15" s="105">
        <f>ALL!BC17</f>
        <v>0</v>
      </c>
      <c r="F15" s="103">
        <f>ALL!BD17</f>
        <v>15000</v>
      </c>
      <c r="G15" s="105">
        <f>ALL!BE17</f>
        <v>166214</v>
      </c>
      <c r="H15" s="103">
        <f>ALL!BF17</f>
        <v>300000</v>
      </c>
      <c r="I15" s="105">
        <f>ALL!BG17</f>
        <v>325000</v>
      </c>
      <c r="J15" s="105">
        <f>ALL!BH17</f>
        <v>1443386</v>
      </c>
      <c r="K15" s="103">
        <f>ALL!B17</f>
        <v>14</v>
      </c>
      <c r="L15" s="103" t="str">
        <f>ALL!C17</f>
        <v>Nurun Nahari Syarifah, S.Psi.</v>
      </c>
      <c r="M15" s="103">
        <f>C15</f>
        <v>3015118015</v>
      </c>
      <c r="N15" s="103">
        <f>ALL!BB17</f>
        <v>400000</v>
      </c>
      <c r="O15" s="105">
        <f>ALL!BC17</f>
        <v>0</v>
      </c>
      <c r="P15" s="105">
        <f>ALL!BD17</f>
        <v>15000</v>
      </c>
      <c r="Q15" s="105">
        <f>ALL!BE17</f>
        <v>166214</v>
      </c>
      <c r="R15" s="103">
        <f>ALL!BF17</f>
        <v>300000</v>
      </c>
      <c r="S15" s="105">
        <f>ALL!BG17</f>
        <v>325000</v>
      </c>
      <c r="T15" s="105">
        <f>ALL!BH17</f>
        <v>1443386</v>
      </c>
    </row>
    <row r="16" spans="1:21" x14ac:dyDescent="0.25">
      <c r="A16" s="103">
        <f>ALL!B24</f>
        <v>21</v>
      </c>
      <c r="B16" s="507" t="str">
        <f>ALL!C24</f>
        <v>HANIF MUSTAQFIROH, S.Pd.</v>
      </c>
      <c r="C16" s="141">
        <v>3015308001</v>
      </c>
      <c r="D16" s="103">
        <f>ALL!BB24</f>
        <v>0</v>
      </c>
      <c r="E16" s="105">
        <f>ALL!BC24</f>
        <v>0</v>
      </c>
      <c r="F16" s="103">
        <f>ALL!BD24</f>
        <v>15000</v>
      </c>
      <c r="G16" s="105">
        <f>ALL!BE24</f>
        <v>0</v>
      </c>
      <c r="H16" s="103">
        <f>ALL!BF24</f>
        <v>0</v>
      </c>
      <c r="I16" s="105">
        <f>ALL!BG24</f>
        <v>0</v>
      </c>
      <c r="J16" s="105">
        <f>ALL!BH24</f>
        <v>2255000</v>
      </c>
      <c r="K16" s="103">
        <f>ALL!B18</f>
        <v>15</v>
      </c>
      <c r="L16" s="103" t="str">
        <f>ALL!C18</f>
        <v>NUR KHAMIDAH, S.Pd.</v>
      </c>
      <c r="M16" s="103">
        <f>C22</f>
        <v>3015307977</v>
      </c>
      <c r="N16" s="103">
        <f>ALL!BB18</f>
        <v>0</v>
      </c>
      <c r="O16" s="105">
        <f>ALL!BC18</f>
        <v>0</v>
      </c>
      <c r="P16" s="105">
        <f>ALL!BD18</f>
        <v>15000</v>
      </c>
      <c r="Q16" s="105">
        <f>ALL!BE18</f>
        <v>0</v>
      </c>
      <c r="R16" s="103">
        <f>ALL!BF18</f>
        <v>0</v>
      </c>
      <c r="S16" s="105">
        <f>ALL!BG18</f>
        <v>0</v>
      </c>
      <c r="T16" s="105">
        <f>ALL!BH18</f>
        <v>1790000</v>
      </c>
    </row>
    <row r="17" spans="1:20" x14ac:dyDescent="0.25">
      <c r="A17" s="103">
        <f>ALL!B19</f>
        <v>16</v>
      </c>
      <c r="B17" s="103" t="str">
        <f>ALL!C19</f>
        <v>Syaifiana Anjar Puspitasari,S.Pd.</v>
      </c>
      <c r="C17" s="103" t="s">
        <v>314</v>
      </c>
      <c r="D17" s="103">
        <f>ALL!BB19</f>
        <v>0</v>
      </c>
      <c r="E17" s="105">
        <f>ALL!BC19</f>
        <v>0</v>
      </c>
      <c r="F17" s="103">
        <f>ALL!BD19</f>
        <v>15000</v>
      </c>
      <c r="G17" s="105">
        <f>ALL!BE19</f>
        <v>0</v>
      </c>
      <c r="H17" s="103">
        <f>ALL!BF19</f>
        <v>100000</v>
      </c>
      <c r="I17" s="105">
        <f>ALL!BG19</f>
        <v>0</v>
      </c>
      <c r="J17" s="105">
        <f>ALL!BH19</f>
        <v>2560600</v>
      </c>
      <c r="K17" s="103">
        <f>ALL!B19</f>
        <v>16</v>
      </c>
      <c r="L17" s="103" t="str">
        <f>ALL!C19</f>
        <v>Syaifiana Anjar Puspitasari,S.Pd.</v>
      </c>
      <c r="M17" s="103" t="str">
        <f>C17</f>
        <v>2068053679</v>
      </c>
      <c r="N17" s="103">
        <f>ALL!BB19</f>
        <v>0</v>
      </c>
      <c r="O17" s="105">
        <f>ALL!BC19</f>
        <v>0</v>
      </c>
      <c r="P17" s="105">
        <f>ALL!BD19</f>
        <v>15000</v>
      </c>
      <c r="Q17" s="105">
        <f>ALL!BE19</f>
        <v>0</v>
      </c>
      <c r="R17" s="103">
        <f>ALL!BF19</f>
        <v>100000</v>
      </c>
      <c r="S17" s="105">
        <f>ALL!BG19</f>
        <v>0</v>
      </c>
      <c r="T17" s="105">
        <f>ALL!BH19</f>
        <v>2560600</v>
      </c>
    </row>
    <row r="18" spans="1:20" x14ac:dyDescent="0.25">
      <c r="A18" s="103">
        <f>ALL!B20</f>
        <v>17</v>
      </c>
      <c r="B18" s="103" t="str">
        <f>ALL!C20</f>
        <v>FARRAS ULAYYA ALLIFNI, S.Pd.</v>
      </c>
      <c r="C18" s="141">
        <v>3015307985</v>
      </c>
      <c r="D18" s="103">
        <f>ALL!BB20</f>
        <v>0</v>
      </c>
      <c r="E18" s="105">
        <f>ALL!BC20</f>
        <v>0</v>
      </c>
      <c r="F18" s="103">
        <f>ALL!BD20</f>
        <v>15000</v>
      </c>
      <c r="G18" s="105">
        <f>ALL!BE20</f>
        <v>0</v>
      </c>
      <c r="H18" s="103">
        <f>ALL!BF20</f>
        <v>0</v>
      </c>
      <c r="I18" s="105">
        <f>ALL!BG20</f>
        <v>0</v>
      </c>
      <c r="J18" s="105">
        <f>ALL!BH20</f>
        <v>1750400</v>
      </c>
      <c r="K18" s="103">
        <f>ALL!B20</f>
        <v>17</v>
      </c>
      <c r="L18" s="103" t="str">
        <f>ALL!C20</f>
        <v>FARRAS ULAYYA ALLIFNI, S.Pd.</v>
      </c>
      <c r="M18" s="103">
        <f t="shared" ref="M18:M20" si="1">C18</f>
        <v>3015307985</v>
      </c>
      <c r="N18" s="103">
        <f>ALL!BB20</f>
        <v>0</v>
      </c>
      <c r="O18" s="105">
        <f>ALL!BC20</f>
        <v>0</v>
      </c>
      <c r="P18" s="105">
        <f>ALL!BD20</f>
        <v>15000</v>
      </c>
      <c r="Q18" s="105">
        <f>ALL!BE20</f>
        <v>0</v>
      </c>
      <c r="R18" s="103">
        <f>ALL!BF20</f>
        <v>0</v>
      </c>
      <c r="S18" s="105">
        <f>ALL!BG20</f>
        <v>0</v>
      </c>
      <c r="T18" s="105">
        <f>ALL!BH20</f>
        <v>1750400</v>
      </c>
    </row>
    <row r="19" spans="1:20" x14ac:dyDescent="0.25">
      <c r="A19" s="103">
        <f>ALL!B21</f>
        <v>18</v>
      </c>
      <c r="B19" s="103" t="str">
        <f>ALL!C21</f>
        <v>Muhimmatun Nisa', S. Pd</v>
      </c>
      <c r="C19" s="141">
        <v>3015118007</v>
      </c>
      <c r="D19" s="103">
        <f>ALL!BB21</f>
        <v>100000</v>
      </c>
      <c r="E19" s="105">
        <f>ALL!BC21</f>
        <v>0</v>
      </c>
      <c r="F19" s="103">
        <f>ALL!BD21</f>
        <v>15000</v>
      </c>
      <c r="G19" s="105">
        <f>ALL!BE21</f>
        <v>68178</v>
      </c>
      <c r="H19" s="103">
        <f>ALL!BF21</f>
        <v>0</v>
      </c>
      <c r="I19" s="105">
        <f>ALL!BG21</f>
        <v>325000</v>
      </c>
      <c r="J19" s="105">
        <f>ALL!BH21</f>
        <v>2217822</v>
      </c>
      <c r="K19" s="103">
        <f>ALL!B21</f>
        <v>18</v>
      </c>
      <c r="L19" s="103" t="str">
        <f>ALL!C21</f>
        <v>Muhimmatun Nisa', S. Pd</v>
      </c>
      <c r="M19" s="103">
        <f t="shared" si="1"/>
        <v>3015118007</v>
      </c>
      <c r="N19" s="103">
        <f>ALL!BB21</f>
        <v>100000</v>
      </c>
      <c r="O19" s="105">
        <f>ALL!BC21</f>
        <v>0</v>
      </c>
      <c r="P19" s="105">
        <f>ALL!BD21</f>
        <v>15000</v>
      </c>
      <c r="Q19" s="105">
        <f>ALL!BE21</f>
        <v>68178</v>
      </c>
      <c r="R19" s="103">
        <f>ALL!BF21</f>
        <v>0</v>
      </c>
      <c r="S19" s="105">
        <f>ALL!BG21</f>
        <v>325000</v>
      </c>
      <c r="T19" s="105">
        <f>ALL!BH21</f>
        <v>2217822</v>
      </c>
    </row>
    <row r="20" spans="1:20" x14ac:dyDescent="0.25">
      <c r="A20" s="103">
        <f>ALL!B22</f>
        <v>19</v>
      </c>
      <c r="B20" s="103" t="str">
        <f>ALL!C22</f>
        <v xml:space="preserve">Rizki Hardyanti, S.Pd. </v>
      </c>
      <c r="C20" s="142">
        <v>2093104091</v>
      </c>
      <c r="D20" s="103">
        <f>ALL!BB22</f>
        <v>0</v>
      </c>
      <c r="E20" s="105">
        <f>ALL!BC22</f>
        <v>0</v>
      </c>
      <c r="F20" s="103">
        <f>ALL!BD22</f>
        <v>15000</v>
      </c>
      <c r="G20" s="105">
        <f>ALL!BE22</f>
        <v>0</v>
      </c>
      <c r="H20" s="103">
        <f>ALL!BF22</f>
        <v>100000</v>
      </c>
      <c r="I20" s="105">
        <f>ALL!BG22</f>
        <v>0</v>
      </c>
      <c r="J20" s="105">
        <f>ALL!BH22</f>
        <v>2457000</v>
      </c>
      <c r="K20" s="103">
        <f>ALL!B22</f>
        <v>19</v>
      </c>
      <c r="L20" s="103" t="str">
        <f>ALL!C22</f>
        <v xml:space="preserve">Rizki Hardyanti, S.Pd. </v>
      </c>
      <c r="M20" s="103">
        <f t="shared" si="1"/>
        <v>2093104091</v>
      </c>
      <c r="N20" s="103">
        <f>ALL!BB22</f>
        <v>0</v>
      </c>
      <c r="O20" s="105">
        <f>ALL!BC22</f>
        <v>0</v>
      </c>
      <c r="P20" s="105">
        <f>ALL!BD22</f>
        <v>15000</v>
      </c>
      <c r="Q20" s="105">
        <f>ALL!BE22</f>
        <v>0</v>
      </c>
      <c r="R20" s="103">
        <f>ALL!BF22</f>
        <v>100000</v>
      </c>
      <c r="S20" s="105">
        <f>ALL!BG22</f>
        <v>0</v>
      </c>
      <c r="T20" s="105">
        <f>ALL!BH22</f>
        <v>2457000</v>
      </c>
    </row>
    <row r="21" spans="1:20" x14ac:dyDescent="0.25">
      <c r="A21" s="103">
        <f>ALL!B29</f>
        <v>26</v>
      </c>
      <c r="B21" s="103" t="str">
        <f>ALL!C29</f>
        <v>Maulida Rahmawati, S.Pd.</v>
      </c>
      <c r="C21" s="103">
        <v>2093089602</v>
      </c>
      <c r="D21" s="103">
        <f>ALL!BB29</f>
        <v>0</v>
      </c>
      <c r="E21" s="105">
        <f>ALL!BC29</f>
        <v>0</v>
      </c>
      <c r="F21" s="103">
        <f>ALL!BD29</f>
        <v>15000</v>
      </c>
      <c r="G21" s="105">
        <f>ALL!BE29</f>
        <v>0</v>
      </c>
      <c r="H21" s="103">
        <f>ALL!BF29</f>
        <v>200000</v>
      </c>
      <c r="I21" s="105">
        <f>ALL!BG29</f>
        <v>0</v>
      </c>
      <c r="J21" s="105">
        <f>ALL!BH29</f>
        <v>2504600</v>
      </c>
      <c r="K21" s="103">
        <f>ALL!B23</f>
        <v>20</v>
      </c>
      <c r="L21" s="103" t="str">
        <f>ALL!C23</f>
        <v>Asmal Wafa, S.Pd.</v>
      </c>
      <c r="M21" s="103">
        <f>C39</f>
        <v>3015118058</v>
      </c>
      <c r="N21" s="103">
        <f>ALL!BB23</f>
        <v>200000</v>
      </c>
      <c r="O21" s="105">
        <f>ALL!BC23</f>
        <v>1335000</v>
      </c>
      <c r="P21" s="105">
        <f>ALL!BD23</f>
        <v>15000</v>
      </c>
      <c r="Q21" s="105">
        <f>ALL!BE23</f>
        <v>92687</v>
      </c>
      <c r="R21" s="103">
        <f>ALL!BF23</f>
        <v>0</v>
      </c>
      <c r="S21" s="105">
        <f>ALL!BG23</f>
        <v>220000</v>
      </c>
      <c r="T21" s="105">
        <f>ALL!BH23</f>
        <v>1426513</v>
      </c>
    </row>
    <row r="22" spans="1:20" x14ac:dyDescent="0.25">
      <c r="A22" s="103">
        <f>ALL!B18</f>
        <v>15</v>
      </c>
      <c r="B22" s="103" t="str">
        <f>ALL!C18</f>
        <v>NUR KHAMIDAH, S.Pd.</v>
      </c>
      <c r="C22" s="141">
        <v>3015307977</v>
      </c>
      <c r="D22" s="103">
        <f>ALL!BB18</f>
        <v>0</v>
      </c>
      <c r="E22" s="105">
        <f>ALL!BC18</f>
        <v>0</v>
      </c>
      <c r="F22" s="103">
        <f>ALL!BD18</f>
        <v>15000</v>
      </c>
      <c r="G22" s="105">
        <f>ALL!BE18</f>
        <v>0</v>
      </c>
      <c r="H22" s="103">
        <f>ALL!BF18</f>
        <v>0</v>
      </c>
      <c r="I22" s="105">
        <f>ALL!BG18</f>
        <v>0</v>
      </c>
      <c r="J22" s="105">
        <f>ALL!BH18</f>
        <v>1790000</v>
      </c>
      <c r="K22" s="103">
        <f>ALL!B24</f>
        <v>21</v>
      </c>
      <c r="L22" s="103" t="str">
        <f>ALL!C24</f>
        <v>HANIF MUSTAQFIROH, S.Pd.</v>
      </c>
      <c r="M22" s="103">
        <f>C16</f>
        <v>3015308001</v>
      </c>
      <c r="N22" s="103">
        <f>ALL!BB24</f>
        <v>0</v>
      </c>
      <c r="O22" s="105">
        <f>ALL!BC24</f>
        <v>0</v>
      </c>
      <c r="P22" s="105">
        <f>ALL!BD24</f>
        <v>15000</v>
      </c>
      <c r="Q22" s="105">
        <f>ALL!BE24</f>
        <v>0</v>
      </c>
      <c r="R22" s="103">
        <f>ALL!BF24</f>
        <v>0</v>
      </c>
      <c r="S22" s="105">
        <f>ALL!BG24</f>
        <v>0</v>
      </c>
      <c r="T22" s="105">
        <f>ALL!BH24</f>
        <v>2255000</v>
      </c>
    </row>
    <row r="23" spans="1:20" x14ac:dyDescent="0.25">
      <c r="A23" s="103">
        <f>ALL!B25</f>
        <v>22</v>
      </c>
      <c r="B23" s="103" t="str">
        <f>ALL!C25</f>
        <v xml:space="preserve">Firda Farihatul Ulya, S.Pd. </v>
      </c>
      <c r="C23" s="103">
        <v>2093089556</v>
      </c>
      <c r="D23" s="103">
        <f>ALL!BB25</f>
        <v>0</v>
      </c>
      <c r="E23" s="105">
        <f>ALL!BC25</f>
        <v>0</v>
      </c>
      <c r="F23" s="103">
        <f>ALL!BD25</f>
        <v>15000</v>
      </c>
      <c r="G23" s="105">
        <f>ALL!BE25</f>
        <v>0</v>
      </c>
      <c r="H23" s="103">
        <f>ALL!BF25</f>
        <v>0</v>
      </c>
      <c r="I23" s="105">
        <f>ALL!BG25</f>
        <v>0</v>
      </c>
      <c r="J23" s="105">
        <f>ALL!BH25</f>
        <v>2660600</v>
      </c>
      <c r="K23" s="103">
        <f>ALL!B25</f>
        <v>22</v>
      </c>
      <c r="L23" s="103" t="str">
        <f>ALL!C25</f>
        <v xml:space="preserve">Firda Farihatul Ulya, S.Pd. </v>
      </c>
      <c r="M23" s="103">
        <f>C23</f>
        <v>2093089556</v>
      </c>
      <c r="N23" s="103">
        <f>ALL!BB25</f>
        <v>0</v>
      </c>
      <c r="O23" s="105">
        <f>ALL!BC25</f>
        <v>0</v>
      </c>
      <c r="P23" s="105">
        <f>ALL!BD25</f>
        <v>15000</v>
      </c>
      <c r="Q23" s="105">
        <f>ALL!BE25</f>
        <v>0</v>
      </c>
      <c r="R23" s="103">
        <f>ALL!BF25</f>
        <v>0</v>
      </c>
      <c r="S23" s="105">
        <f>ALL!BG25</f>
        <v>0</v>
      </c>
      <c r="T23" s="105">
        <f>ALL!BH25</f>
        <v>2660600</v>
      </c>
    </row>
    <row r="24" spans="1:20" x14ac:dyDescent="0.25">
      <c r="A24" s="103">
        <f>ALL!B26</f>
        <v>23</v>
      </c>
      <c r="B24" s="103" t="str">
        <f>ALL!C26</f>
        <v xml:space="preserve">Luqman Khafid, M.Pd. </v>
      </c>
      <c r="C24" s="103">
        <v>2015182485</v>
      </c>
      <c r="D24" s="103">
        <f>ALL!BB26</f>
        <v>0</v>
      </c>
      <c r="E24" s="105">
        <f>ALL!BC26</f>
        <v>0</v>
      </c>
      <c r="F24" s="103">
        <f>ALL!BD26</f>
        <v>15000</v>
      </c>
      <c r="G24" s="105">
        <f>ALL!BE26</f>
        <v>0</v>
      </c>
      <c r="H24" s="103">
        <f>ALL!BF26</f>
        <v>0</v>
      </c>
      <c r="I24" s="105">
        <f>ALL!BG26</f>
        <v>0</v>
      </c>
      <c r="J24" s="105">
        <f>ALL!BH26</f>
        <v>2567600</v>
      </c>
      <c r="K24" s="103">
        <f>ALL!B26</f>
        <v>23</v>
      </c>
      <c r="L24" s="103" t="str">
        <f>ALL!C26</f>
        <v xml:space="preserve">Luqman Khafid, M.Pd. </v>
      </c>
      <c r="M24" s="103">
        <f>C24</f>
        <v>2015182485</v>
      </c>
      <c r="N24" s="103">
        <f>ALL!BB26</f>
        <v>0</v>
      </c>
      <c r="O24" s="105">
        <f>ALL!BC26</f>
        <v>0</v>
      </c>
      <c r="P24" s="105">
        <f>ALL!BD26</f>
        <v>15000</v>
      </c>
      <c r="Q24" s="105">
        <f>ALL!BE26</f>
        <v>0</v>
      </c>
      <c r="R24" s="103">
        <f>ALL!BF26</f>
        <v>0</v>
      </c>
      <c r="S24" s="105">
        <f>ALL!BG26</f>
        <v>0</v>
      </c>
      <c r="T24" s="105">
        <f>ALL!BH26</f>
        <v>2567600</v>
      </c>
    </row>
    <row r="25" spans="1:20" x14ac:dyDescent="0.25">
      <c r="A25" s="103">
        <f>ALL!B31</f>
        <v>28</v>
      </c>
      <c r="B25" s="103" t="str">
        <f>ALL!C31</f>
        <v xml:space="preserve">Ni'matul Afifah, S.Pd. </v>
      </c>
      <c r="C25" s="141">
        <v>3015117990</v>
      </c>
      <c r="D25" s="103">
        <f>ALL!BB31</f>
        <v>600000</v>
      </c>
      <c r="E25" s="105">
        <f>ALL!BC31</f>
        <v>0</v>
      </c>
      <c r="F25" s="103">
        <f>ALL!BD31</f>
        <v>15000</v>
      </c>
      <c r="G25" s="105">
        <f>ALL!BE31</f>
        <v>117196</v>
      </c>
      <c r="H25" s="103">
        <f>ALL!BF31</f>
        <v>300000</v>
      </c>
      <c r="I25" s="105">
        <f>ALL!BG31</f>
        <v>0</v>
      </c>
      <c r="J25" s="105">
        <f>ALL!BH31</f>
        <v>1662004</v>
      </c>
      <c r="K25" s="103">
        <f>ALL!B27</f>
        <v>24</v>
      </c>
      <c r="L25" s="103" t="str">
        <f>ALL!C27</f>
        <v xml:space="preserve">Sri Hartatik, S.Pd. </v>
      </c>
      <c r="M25" s="103">
        <f>C29</f>
        <v>2068064280</v>
      </c>
      <c r="N25" s="103">
        <f>ALL!BB27</f>
        <v>0</v>
      </c>
      <c r="O25" s="105">
        <f>ALL!BC27</f>
        <v>0</v>
      </c>
      <c r="P25" s="105">
        <f>ALL!BD27</f>
        <v>15000</v>
      </c>
      <c r="Q25" s="105">
        <f>ALL!BE27</f>
        <v>0</v>
      </c>
      <c r="R25" s="103">
        <f>ALL!BF27</f>
        <v>0</v>
      </c>
      <c r="S25" s="105">
        <f>ALL!BG27</f>
        <v>0</v>
      </c>
      <c r="T25" s="105">
        <f>ALL!BH27</f>
        <v>2683500</v>
      </c>
    </row>
    <row r="26" spans="1:20" x14ac:dyDescent="0.25">
      <c r="A26" s="103">
        <f>ALL!B30</f>
        <v>27</v>
      </c>
      <c r="B26" s="103" t="str">
        <f>ALL!C30</f>
        <v xml:space="preserve">Khoiril Anwar, S.Pd. </v>
      </c>
      <c r="C26" s="141">
        <v>3015134509</v>
      </c>
      <c r="D26" s="103">
        <f>ALL!BB30</f>
        <v>0</v>
      </c>
      <c r="E26" s="105">
        <f>ALL!BC30</f>
        <v>0</v>
      </c>
      <c r="F26" s="103">
        <f>ALL!BD30</f>
        <v>15000</v>
      </c>
      <c r="G26" s="105">
        <f>ALL!BE30</f>
        <v>49018</v>
      </c>
      <c r="H26" s="103">
        <f>ALL!BF30</f>
        <v>0</v>
      </c>
      <c r="I26" s="105">
        <f>ALL!BG30</f>
        <v>0</v>
      </c>
      <c r="J26" s="105">
        <f>ALL!BH30</f>
        <v>1905982</v>
      </c>
      <c r="K26" s="103">
        <f>ALL!B28</f>
        <v>25</v>
      </c>
      <c r="L26" s="103" t="str">
        <f>ALL!C28</f>
        <v xml:space="preserve">Raka Adi Setya, S.Pd. </v>
      </c>
      <c r="M26" s="103">
        <f>C28</f>
        <v>2015235091</v>
      </c>
      <c r="N26" s="103">
        <f>ALL!BB28</f>
        <v>0</v>
      </c>
      <c r="O26" s="105">
        <f>ALL!BC28</f>
        <v>0</v>
      </c>
      <c r="P26" s="105">
        <f>ALL!BD28</f>
        <v>15000</v>
      </c>
      <c r="Q26" s="105">
        <f>ALL!BE28</f>
        <v>0</v>
      </c>
      <c r="R26" s="103">
        <f>ALL!BF28</f>
        <v>100000</v>
      </c>
      <c r="S26" s="105">
        <f>ALL!BG28</f>
        <v>0</v>
      </c>
      <c r="T26" s="105">
        <f>ALL!BH28</f>
        <v>1690000</v>
      </c>
    </row>
    <row r="27" spans="1:20" x14ac:dyDescent="0.25">
      <c r="A27" s="103" t="e">
        <f>ALL!#REF!</f>
        <v>#REF!</v>
      </c>
      <c r="B27" s="103" t="e">
        <f>ALL!#REF!</f>
        <v>#REF!</v>
      </c>
      <c r="C27" s="141">
        <v>3015117973</v>
      </c>
      <c r="D27" s="103" t="e">
        <f>ALL!#REF!</f>
        <v>#REF!</v>
      </c>
      <c r="E27" s="105" t="e">
        <f>ALL!#REF!</f>
        <v>#REF!</v>
      </c>
      <c r="F27" s="103" t="e">
        <f>ALL!#REF!</f>
        <v>#REF!</v>
      </c>
      <c r="G27" s="105" t="e">
        <f>ALL!#REF!</f>
        <v>#REF!</v>
      </c>
      <c r="H27" s="103" t="e">
        <f>ALL!#REF!</f>
        <v>#REF!</v>
      </c>
      <c r="I27" s="105" t="e">
        <f>ALL!#REF!</f>
        <v>#REF!</v>
      </c>
      <c r="J27" s="105" t="e">
        <f>ALL!#REF!</f>
        <v>#REF!</v>
      </c>
      <c r="K27" s="103">
        <f>ALL!B29</f>
        <v>26</v>
      </c>
      <c r="L27" s="103" t="str">
        <f>ALL!C29</f>
        <v>Maulida Rahmawati, S.Pd.</v>
      </c>
      <c r="M27" s="103">
        <f>C21</f>
        <v>2093089602</v>
      </c>
      <c r="N27" s="103">
        <f>ALL!BB29</f>
        <v>0</v>
      </c>
      <c r="O27" s="105">
        <f>ALL!BC29</f>
        <v>0</v>
      </c>
      <c r="P27" s="105">
        <f>ALL!BD29</f>
        <v>15000</v>
      </c>
      <c r="Q27" s="105">
        <f>ALL!BE29</f>
        <v>0</v>
      </c>
      <c r="R27" s="103">
        <f>ALL!BF29</f>
        <v>200000</v>
      </c>
      <c r="S27" s="105">
        <f>ALL!BG29</f>
        <v>0</v>
      </c>
      <c r="T27" s="105">
        <f>ALL!BH29</f>
        <v>2504600</v>
      </c>
    </row>
    <row r="28" spans="1:20" x14ac:dyDescent="0.25">
      <c r="A28" s="103">
        <f>ALL!B28</f>
        <v>25</v>
      </c>
      <c r="B28" s="103" t="str">
        <f>ALL!C28</f>
        <v xml:space="preserve">Raka Adi Setya, S.Pd. </v>
      </c>
      <c r="C28" s="141">
        <v>2015235091</v>
      </c>
      <c r="D28" s="103">
        <f>ALL!BB28</f>
        <v>0</v>
      </c>
      <c r="E28" s="105">
        <f>ALL!BC28</f>
        <v>0</v>
      </c>
      <c r="F28" s="103">
        <f>ALL!BD28</f>
        <v>15000</v>
      </c>
      <c r="G28" s="105">
        <f>ALL!BE28</f>
        <v>0</v>
      </c>
      <c r="H28" s="103">
        <f>ALL!BF28</f>
        <v>100000</v>
      </c>
      <c r="I28" s="105">
        <f>ALL!BG28</f>
        <v>0</v>
      </c>
      <c r="J28" s="105">
        <f>ALL!BH28</f>
        <v>1690000</v>
      </c>
      <c r="K28" s="103">
        <f>ALL!B30</f>
        <v>27</v>
      </c>
      <c r="L28" s="103" t="str">
        <f>ALL!C30</f>
        <v xml:space="preserve">Khoiril Anwar, S.Pd. </v>
      </c>
      <c r="M28" s="103">
        <f>C26</f>
        <v>3015134509</v>
      </c>
      <c r="N28" s="103">
        <f>ALL!BB30</f>
        <v>0</v>
      </c>
      <c r="O28" s="105">
        <f>ALL!BC30</f>
        <v>0</v>
      </c>
      <c r="P28" s="105">
        <f>ALL!BD30</f>
        <v>15000</v>
      </c>
      <c r="Q28" s="105">
        <f>ALL!BE30</f>
        <v>49018</v>
      </c>
      <c r="R28" s="103">
        <f>ALL!BF30</f>
        <v>0</v>
      </c>
      <c r="S28" s="105">
        <f>ALL!BG30</f>
        <v>0</v>
      </c>
      <c r="T28" s="105">
        <f>ALL!BH30</f>
        <v>1905982</v>
      </c>
    </row>
    <row r="29" spans="1:20" x14ac:dyDescent="0.25">
      <c r="A29" s="103">
        <f>ALL!B27</f>
        <v>24</v>
      </c>
      <c r="B29" s="103" t="str">
        <f>ALL!C27</f>
        <v xml:space="preserve">Sri Hartatik, S.Pd. </v>
      </c>
      <c r="C29" s="103">
        <v>2068064280</v>
      </c>
      <c r="D29" s="103">
        <f>ALL!BB27</f>
        <v>0</v>
      </c>
      <c r="E29" s="105">
        <f>ALL!BC27</f>
        <v>0</v>
      </c>
      <c r="F29" s="103">
        <f>ALL!BD27</f>
        <v>15000</v>
      </c>
      <c r="G29" s="105">
        <f>ALL!BE27</f>
        <v>0</v>
      </c>
      <c r="H29" s="103">
        <f>ALL!BF27</f>
        <v>0</v>
      </c>
      <c r="I29" s="105">
        <f>ALL!BG27</f>
        <v>0</v>
      </c>
      <c r="J29" s="105">
        <f>ALL!BH27</f>
        <v>2683500</v>
      </c>
      <c r="K29" s="103">
        <f>ALL!B31</f>
        <v>28</v>
      </c>
      <c r="L29" s="103" t="str">
        <f>ALL!C31</f>
        <v xml:space="preserve">Ni'matul Afifah, S.Pd. </v>
      </c>
      <c r="M29" s="103">
        <f>C25</f>
        <v>3015117990</v>
      </c>
      <c r="N29" s="103">
        <f>ALL!BB31</f>
        <v>600000</v>
      </c>
      <c r="O29" s="105">
        <f>ALL!BC31</f>
        <v>0</v>
      </c>
      <c r="P29" s="105">
        <f>ALL!BD31</f>
        <v>15000</v>
      </c>
      <c r="Q29" s="105">
        <f>ALL!BE31</f>
        <v>117196</v>
      </c>
      <c r="R29" s="103">
        <f>ALL!BF31</f>
        <v>300000</v>
      </c>
      <c r="S29" s="105">
        <f>ALL!BG31</f>
        <v>0</v>
      </c>
      <c r="T29" s="105">
        <f>ALL!BH31</f>
        <v>1662004</v>
      </c>
    </row>
    <row r="30" spans="1:20" x14ac:dyDescent="0.25">
      <c r="A30" s="103">
        <f>ALL!B32</f>
        <v>29</v>
      </c>
      <c r="B30" s="103" t="str">
        <f>ALL!C32</f>
        <v>Risqa Nur Fadhilah, S.Pd.</v>
      </c>
      <c r="C30" s="103">
        <v>2015080411</v>
      </c>
      <c r="D30" s="103">
        <f>ALL!BB32</f>
        <v>0</v>
      </c>
      <c r="E30" s="105">
        <f>ALL!BC32</f>
        <v>0</v>
      </c>
      <c r="F30" s="103">
        <f>ALL!BD32</f>
        <v>15000</v>
      </c>
      <c r="G30" s="105">
        <f>ALL!BE32</f>
        <v>0</v>
      </c>
      <c r="H30" s="103">
        <f>ALL!BF32</f>
        <v>0</v>
      </c>
      <c r="I30" s="105">
        <f>ALL!BG32</f>
        <v>0</v>
      </c>
      <c r="J30" s="105">
        <f>ALL!BH32</f>
        <v>2600000</v>
      </c>
      <c r="K30" s="103">
        <f>ALL!B32</f>
        <v>29</v>
      </c>
      <c r="L30" s="103" t="str">
        <f>ALL!C32</f>
        <v>Risqa Nur Fadhilah, S.Pd.</v>
      </c>
      <c r="M30" s="103">
        <f>C30</f>
        <v>2015080411</v>
      </c>
      <c r="N30" s="103">
        <f>ALL!BB32</f>
        <v>0</v>
      </c>
      <c r="O30" s="105">
        <f>ALL!BC32</f>
        <v>0</v>
      </c>
      <c r="P30" s="105">
        <f>ALL!BD32</f>
        <v>15000</v>
      </c>
      <c r="Q30" s="105">
        <f>ALL!BE32</f>
        <v>0</v>
      </c>
      <c r="R30" s="103">
        <f>ALL!BF32</f>
        <v>0</v>
      </c>
      <c r="S30" s="105">
        <f>ALL!BG32</f>
        <v>0</v>
      </c>
      <c r="T30" s="105">
        <f>ALL!BH32</f>
        <v>2600000</v>
      </c>
    </row>
    <row r="31" spans="1:20" x14ac:dyDescent="0.25">
      <c r="A31" s="103">
        <f>ALL!B33</f>
        <v>30</v>
      </c>
      <c r="B31" s="103" t="str">
        <f>ALL!C33</f>
        <v xml:space="preserve">Rika Setyaningsih, S.Pd. </v>
      </c>
      <c r="C31" s="141">
        <v>3015135122</v>
      </c>
      <c r="D31" s="103">
        <f>ALL!BB33</f>
        <v>100000</v>
      </c>
      <c r="E31" s="105">
        <f>ALL!BC33</f>
        <v>1053500</v>
      </c>
      <c r="F31" s="103">
        <f>ALL!BD33</f>
        <v>15000</v>
      </c>
      <c r="G31" s="105">
        <f>ALL!BE33</f>
        <v>141705</v>
      </c>
      <c r="H31" s="103">
        <f>ALL!BF33</f>
        <v>200000</v>
      </c>
      <c r="I31" s="105">
        <f>ALL!BG33</f>
        <v>325000</v>
      </c>
      <c r="J31" s="105">
        <f>ALL!BH33</f>
        <v>829795</v>
      </c>
      <c r="K31" s="103">
        <f>ALL!B33</f>
        <v>30</v>
      </c>
      <c r="L31" s="103" t="str">
        <f>ALL!C33</f>
        <v xml:space="preserve">Rika Setyaningsih, S.Pd. </v>
      </c>
      <c r="M31" s="103">
        <f>C31</f>
        <v>3015135122</v>
      </c>
      <c r="N31" s="103">
        <f>ALL!BB33</f>
        <v>100000</v>
      </c>
      <c r="O31" s="105">
        <f>ALL!BC33</f>
        <v>1053500</v>
      </c>
      <c r="P31" s="105">
        <f>ALL!BD33</f>
        <v>15000</v>
      </c>
      <c r="Q31" s="105">
        <f>ALL!BE33</f>
        <v>141705</v>
      </c>
      <c r="R31" s="103">
        <f>ALL!BF33</f>
        <v>200000</v>
      </c>
      <c r="S31" s="105">
        <f>ALL!BG33</f>
        <v>325000</v>
      </c>
      <c r="T31" s="105">
        <f>ALL!BH33</f>
        <v>829795</v>
      </c>
    </row>
    <row r="32" spans="1:20" x14ac:dyDescent="0.25">
      <c r="A32" s="103">
        <f>ALL!B38</f>
        <v>35</v>
      </c>
      <c r="B32" s="103" t="str">
        <f>ALL!C38</f>
        <v>Shofi Inayah, S.Pd.</v>
      </c>
      <c r="C32" s="141">
        <v>2015057621</v>
      </c>
      <c r="D32" s="103">
        <f>ALL!BB38</f>
        <v>300000</v>
      </c>
      <c r="E32" s="105">
        <f>ALL!BC38</f>
        <v>1365500</v>
      </c>
      <c r="F32" s="103">
        <f>ALL!BD38</f>
        <v>15000</v>
      </c>
      <c r="G32" s="105">
        <f>ALL!BE38</f>
        <v>92687</v>
      </c>
      <c r="H32" s="103">
        <f>ALL!BF38</f>
        <v>0</v>
      </c>
      <c r="I32" s="105">
        <f>ALL!BG38</f>
        <v>0</v>
      </c>
      <c r="J32" s="105">
        <f>ALL!BH38</f>
        <v>331813</v>
      </c>
      <c r="K32" s="103">
        <f>ALL!B34</f>
        <v>31</v>
      </c>
      <c r="L32" s="103" t="str">
        <f>ALL!C34</f>
        <v>Khoiroma Aushof, S.Pd.</v>
      </c>
      <c r="M32" s="103">
        <f>C36</f>
        <v>2015190046</v>
      </c>
      <c r="N32" s="103">
        <f>ALL!BB34</f>
        <v>0</v>
      </c>
      <c r="O32" s="105">
        <f>ALL!BC34</f>
        <v>0</v>
      </c>
      <c r="P32" s="105">
        <f>ALL!BD34</f>
        <v>15000</v>
      </c>
      <c r="Q32" s="105">
        <f>ALL!BE34</f>
        <v>0</v>
      </c>
      <c r="R32" s="103">
        <f>ALL!BF34</f>
        <v>0</v>
      </c>
      <c r="S32" s="105">
        <f>ALL!BG34</f>
        <v>0</v>
      </c>
      <c r="T32" s="105">
        <f>ALL!BH34</f>
        <v>2804600</v>
      </c>
    </row>
    <row r="33" spans="1:20" x14ac:dyDescent="0.25">
      <c r="A33" s="103">
        <f>ALL!B48</f>
        <v>45</v>
      </c>
      <c r="B33" s="103" t="str">
        <f>ALL!C48</f>
        <v>Atana Ridhoka, Lc.</v>
      </c>
      <c r="C33" s="103">
        <v>3015219989</v>
      </c>
      <c r="D33" s="103">
        <f>ALL!BB48</f>
        <v>0</v>
      </c>
      <c r="E33" s="105">
        <f>ALL!BC48</f>
        <v>0</v>
      </c>
      <c r="F33" s="103">
        <f>ALL!BD48</f>
        <v>15000</v>
      </c>
      <c r="G33" s="105">
        <f>ALL!BE48</f>
        <v>0</v>
      </c>
      <c r="H33" s="103">
        <f>ALL!BF48</f>
        <v>0</v>
      </c>
      <c r="I33" s="105">
        <f>ALL!BG48</f>
        <v>0</v>
      </c>
      <c r="J33" s="105">
        <f>ALL!BH48</f>
        <v>2718800</v>
      </c>
      <c r="K33" s="103">
        <f>ALL!B35</f>
        <v>32</v>
      </c>
      <c r="L33" s="103" t="str">
        <f>ALL!C35</f>
        <v xml:space="preserve">Nihlatillah, S.Pd. </v>
      </c>
      <c r="M33" s="103">
        <f>C34</f>
        <v>3015118091</v>
      </c>
      <c r="N33" s="103">
        <f>ALL!BB35</f>
        <v>200000</v>
      </c>
      <c r="O33" s="105">
        <f>ALL!BC35</f>
        <v>1335000</v>
      </c>
      <c r="P33" s="105">
        <f>ALL!BD35</f>
        <v>15000</v>
      </c>
      <c r="Q33" s="105">
        <f>ALL!BE35</f>
        <v>92687</v>
      </c>
      <c r="R33" s="103">
        <f>ALL!BF35</f>
        <v>300000</v>
      </c>
      <c r="S33" s="105">
        <f>ALL!BG35</f>
        <v>220000</v>
      </c>
      <c r="T33" s="105">
        <f>ALL!BH35</f>
        <v>850513</v>
      </c>
    </row>
    <row r="34" spans="1:20" x14ac:dyDescent="0.25">
      <c r="A34" s="103">
        <f>ALL!B35</f>
        <v>32</v>
      </c>
      <c r="B34" s="103" t="str">
        <f>ALL!C35</f>
        <v xml:space="preserve">Nihlatillah, S.Pd. </v>
      </c>
      <c r="C34" s="141">
        <v>3015118091</v>
      </c>
      <c r="D34" s="103">
        <f>ALL!BB35</f>
        <v>200000</v>
      </c>
      <c r="E34" s="105">
        <f>ALL!BC35</f>
        <v>1335000</v>
      </c>
      <c r="F34" s="103">
        <f>ALL!BD35</f>
        <v>15000</v>
      </c>
      <c r="G34" s="105">
        <f>ALL!BE35</f>
        <v>92687</v>
      </c>
      <c r="H34" s="103">
        <f>ALL!BF35</f>
        <v>300000</v>
      </c>
      <c r="I34" s="105">
        <f>ALL!BG35</f>
        <v>220000</v>
      </c>
      <c r="J34" s="105">
        <f>ALL!BH35</f>
        <v>850513</v>
      </c>
      <c r="K34" s="103">
        <f>ALL!B36</f>
        <v>33</v>
      </c>
      <c r="L34" s="103" t="str">
        <f>ALL!C36</f>
        <v>HUSNUL KHOTIMAH, S.Pd.</v>
      </c>
      <c r="M34" s="103">
        <f>C46</f>
        <v>2015258481</v>
      </c>
      <c r="N34" s="103">
        <f>ALL!BB36</f>
        <v>0</v>
      </c>
      <c r="O34" s="105">
        <f>ALL!BC36</f>
        <v>0</v>
      </c>
      <c r="P34" s="105">
        <f>ALL!BD36</f>
        <v>15000</v>
      </c>
      <c r="Q34" s="105">
        <f>ALL!BE36</f>
        <v>0</v>
      </c>
      <c r="R34" s="103">
        <f>ALL!BF36</f>
        <v>0</v>
      </c>
      <c r="S34" s="105">
        <f>ALL!BG36</f>
        <v>0</v>
      </c>
      <c r="T34" s="105">
        <f>ALL!BH36</f>
        <v>2255000</v>
      </c>
    </row>
    <row r="35" spans="1:20" x14ac:dyDescent="0.25">
      <c r="A35" s="103">
        <f>ALL!B37</f>
        <v>34</v>
      </c>
      <c r="B35" s="103" t="str">
        <f>ALL!C37</f>
        <v>Titin Safitri, S.Pd.</v>
      </c>
      <c r="C35" s="103" t="s">
        <v>315</v>
      </c>
      <c r="D35" s="103">
        <f>ALL!BB37</f>
        <v>0</v>
      </c>
      <c r="E35" s="105">
        <f>ALL!BC37</f>
        <v>0</v>
      </c>
      <c r="F35" s="103">
        <f>ALL!BD37</f>
        <v>15000</v>
      </c>
      <c r="G35" s="105">
        <f>ALL!BE37</f>
        <v>92687</v>
      </c>
      <c r="H35" s="103">
        <f>ALL!BF37</f>
        <v>100000</v>
      </c>
      <c r="I35" s="105">
        <f>ALL!BG37</f>
        <v>0</v>
      </c>
      <c r="J35" s="105">
        <f>ALL!BH37</f>
        <v>2577313</v>
      </c>
      <c r="K35" s="103">
        <f>ALL!B37</f>
        <v>34</v>
      </c>
      <c r="L35" s="103" t="str">
        <f>ALL!C37</f>
        <v>Titin Safitri, S.Pd.</v>
      </c>
      <c r="M35" s="103" t="str">
        <f>C35</f>
        <v>2068053687</v>
      </c>
      <c r="N35" s="103">
        <f>ALL!BB37</f>
        <v>0</v>
      </c>
      <c r="O35" s="105">
        <f>ALL!BC37</f>
        <v>0</v>
      </c>
      <c r="P35" s="105">
        <f>ALL!BD37</f>
        <v>15000</v>
      </c>
      <c r="Q35" s="105">
        <f>ALL!BE37</f>
        <v>92687</v>
      </c>
      <c r="R35" s="103">
        <f>ALL!BF37</f>
        <v>100000</v>
      </c>
      <c r="S35" s="105">
        <f>ALL!BG37</f>
        <v>0</v>
      </c>
      <c r="T35" s="105">
        <f>ALL!BH37</f>
        <v>2577313</v>
      </c>
    </row>
    <row r="36" spans="1:20" x14ac:dyDescent="0.25">
      <c r="A36" s="103">
        <f>ALL!B34</f>
        <v>31</v>
      </c>
      <c r="B36" s="103" t="str">
        <f>ALL!C34</f>
        <v>Khoiroma Aushof, S.Pd.</v>
      </c>
      <c r="C36" s="103">
        <v>2015190046</v>
      </c>
      <c r="D36" s="103">
        <f>ALL!BB34</f>
        <v>0</v>
      </c>
      <c r="E36" s="105">
        <f>ALL!BC34</f>
        <v>0</v>
      </c>
      <c r="F36" s="103">
        <f>ALL!BD34</f>
        <v>15000</v>
      </c>
      <c r="G36" s="105">
        <f>ALL!BE34</f>
        <v>0</v>
      </c>
      <c r="H36" s="103">
        <f>ALL!BF34</f>
        <v>0</v>
      </c>
      <c r="I36" s="105">
        <f>ALL!BG34</f>
        <v>0</v>
      </c>
      <c r="J36" s="105">
        <f>ALL!BH34</f>
        <v>2804600</v>
      </c>
      <c r="K36" s="103">
        <f>ALL!B38</f>
        <v>35</v>
      </c>
      <c r="L36" s="103" t="str">
        <f>ALL!C38</f>
        <v>Shofi Inayah, S.Pd.</v>
      </c>
      <c r="M36" s="103">
        <f>C32</f>
        <v>2015057621</v>
      </c>
      <c r="N36" s="103">
        <f>ALL!BB38</f>
        <v>300000</v>
      </c>
      <c r="O36" s="105">
        <f>ALL!BC38</f>
        <v>1365500</v>
      </c>
      <c r="P36" s="105">
        <f>ALL!BD38</f>
        <v>15000</v>
      </c>
      <c r="Q36" s="105">
        <f>ALL!BE38</f>
        <v>92687</v>
      </c>
      <c r="R36" s="103">
        <f>ALL!BF38</f>
        <v>0</v>
      </c>
      <c r="S36" s="105">
        <f>ALL!BG38</f>
        <v>0</v>
      </c>
      <c r="T36" s="105">
        <f>ALL!BH38</f>
        <v>331813</v>
      </c>
    </row>
    <row r="37" spans="1:20" x14ac:dyDescent="0.25">
      <c r="A37" s="103">
        <f>ALL!B39</f>
        <v>36</v>
      </c>
      <c r="B37" s="103" t="str">
        <f>ALL!C39</f>
        <v>Mariyatu Ulfa, S.Pd.</v>
      </c>
      <c r="C37" s="141">
        <v>3015117957</v>
      </c>
      <c r="D37" s="103">
        <f>ALL!BB39</f>
        <v>200000</v>
      </c>
      <c r="E37" s="105">
        <f>ALL!BC39</f>
        <v>1335000</v>
      </c>
      <c r="F37" s="103">
        <f>ALL!BD39</f>
        <v>15000</v>
      </c>
      <c r="G37" s="105">
        <f>ALL!BE39</f>
        <v>190723</v>
      </c>
      <c r="H37" s="103">
        <f>ALL!BF39</f>
        <v>0</v>
      </c>
      <c r="I37" s="105">
        <f>ALL!BG39</f>
        <v>0</v>
      </c>
      <c r="J37" s="105">
        <f>ALL!BH39</f>
        <v>1108877</v>
      </c>
      <c r="K37" s="103">
        <f>ALL!B39</f>
        <v>36</v>
      </c>
      <c r="L37" s="103" t="str">
        <f>ALL!C39</f>
        <v>Mariyatu Ulfa, S.Pd.</v>
      </c>
      <c r="M37" s="103">
        <f>C37</f>
        <v>3015117957</v>
      </c>
      <c r="N37" s="103">
        <f>ALL!BB39</f>
        <v>200000</v>
      </c>
      <c r="O37" s="105">
        <f>ALL!BC39</f>
        <v>1335000</v>
      </c>
      <c r="P37" s="105">
        <f>ALL!BD39</f>
        <v>15000</v>
      </c>
      <c r="Q37" s="105">
        <f>ALL!BE39</f>
        <v>190723</v>
      </c>
      <c r="R37" s="103">
        <f>ALL!BF39</f>
        <v>0</v>
      </c>
      <c r="S37" s="105">
        <f>ALL!BG39</f>
        <v>0</v>
      </c>
      <c r="T37" s="105">
        <f>ALL!BH39</f>
        <v>1108877</v>
      </c>
    </row>
    <row r="38" spans="1:20" x14ac:dyDescent="0.25">
      <c r="A38" s="103">
        <f>ALL!B40</f>
        <v>37</v>
      </c>
      <c r="B38" s="103" t="str">
        <f>ALL!C40</f>
        <v>Faridah, M.Pd.</v>
      </c>
      <c r="C38" s="141">
        <v>3015118449</v>
      </c>
      <c r="D38" s="103">
        <f>ALL!BB40</f>
        <v>200000</v>
      </c>
      <c r="E38" s="105">
        <f>ALL!BC40</f>
        <v>0</v>
      </c>
      <c r="F38" s="103">
        <f>ALL!BD40</f>
        <v>15000</v>
      </c>
      <c r="G38" s="105">
        <f>ALL!BE40</f>
        <v>92687</v>
      </c>
      <c r="H38" s="103">
        <f>ALL!BF40</f>
        <v>100000</v>
      </c>
      <c r="I38" s="105">
        <f>ALL!BG40</f>
        <v>0</v>
      </c>
      <c r="J38" s="105">
        <f>ALL!BH40</f>
        <v>2453913</v>
      </c>
      <c r="K38" s="103">
        <f>ALL!B40</f>
        <v>37</v>
      </c>
      <c r="L38" s="103" t="str">
        <f>ALL!C40</f>
        <v>Faridah, M.Pd.</v>
      </c>
      <c r="M38" s="103">
        <f>C38</f>
        <v>3015118449</v>
      </c>
      <c r="N38" s="103">
        <f>ALL!BB40</f>
        <v>200000</v>
      </c>
      <c r="O38" s="105">
        <f>ALL!BC40</f>
        <v>0</v>
      </c>
      <c r="P38" s="105">
        <f>ALL!BD40</f>
        <v>15000</v>
      </c>
      <c r="Q38" s="105">
        <f>ALL!BE40</f>
        <v>92687</v>
      </c>
      <c r="R38" s="103">
        <f>ALL!BF40</f>
        <v>100000</v>
      </c>
      <c r="S38" s="105">
        <f>ALL!BG40</f>
        <v>0</v>
      </c>
      <c r="T38" s="105">
        <f>ALL!BH40</f>
        <v>2453913</v>
      </c>
    </row>
    <row r="39" spans="1:20" x14ac:dyDescent="0.25">
      <c r="A39" s="103">
        <f>ALL!B23</f>
        <v>20</v>
      </c>
      <c r="B39" s="103" t="str">
        <f>ALL!C23</f>
        <v>Asmal Wafa, S.Pd.</v>
      </c>
      <c r="C39" s="141">
        <v>3015118058</v>
      </c>
      <c r="D39" s="103">
        <f>ALL!BB23</f>
        <v>200000</v>
      </c>
      <c r="E39" s="105">
        <f>ALL!BC23</f>
        <v>1335000</v>
      </c>
      <c r="F39" s="103">
        <f>ALL!BD23</f>
        <v>15000</v>
      </c>
      <c r="G39" s="105">
        <f>ALL!BE23</f>
        <v>92687</v>
      </c>
      <c r="H39" s="103">
        <f>ALL!BF23</f>
        <v>0</v>
      </c>
      <c r="I39" s="105">
        <f>ALL!BG23</f>
        <v>220000</v>
      </c>
      <c r="J39" s="105">
        <f>ALL!BH23</f>
        <v>1426513</v>
      </c>
      <c r="K39" s="103">
        <f>ALL!B41</f>
        <v>38</v>
      </c>
      <c r="L39" s="103" t="str">
        <f>ALL!C41</f>
        <v xml:space="preserve">Faiz Luzmi, S.Pd. </v>
      </c>
      <c r="M39" s="103">
        <f t="shared" ref="M39:M44" si="2">C40</f>
        <v>3093118773</v>
      </c>
      <c r="N39" s="103">
        <f>ALL!BB41</f>
        <v>100000</v>
      </c>
      <c r="O39" s="105">
        <f>ALL!BC41</f>
        <v>0</v>
      </c>
      <c r="P39" s="105">
        <f>ALL!BD41</f>
        <v>15000</v>
      </c>
      <c r="Q39" s="105">
        <f>ALL!BE41</f>
        <v>24509</v>
      </c>
      <c r="R39" s="103">
        <f>ALL!BF41</f>
        <v>100000</v>
      </c>
      <c r="S39" s="105">
        <f>ALL!BG41</f>
        <v>0</v>
      </c>
      <c r="T39" s="105">
        <f>ALL!BH41</f>
        <v>2545491</v>
      </c>
    </row>
    <row r="40" spans="1:20" x14ac:dyDescent="0.25">
      <c r="A40" s="103">
        <f>ALL!B41</f>
        <v>38</v>
      </c>
      <c r="B40" s="103" t="str">
        <f>ALL!C41</f>
        <v xml:space="preserve">Faiz Luzmi, S.Pd. </v>
      </c>
      <c r="C40" s="141">
        <v>3093118773</v>
      </c>
      <c r="D40" s="103">
        <f>ALL!BB41</f>
        <v>100000</v>
      </c>
      <c r="E40" s="105">
        <f>ALL!BC41</f>
        <v>0</v>
      </c>
      <c r="F40" s="103">
        <f>ALL!BD41</f>
        <v>15000</v>
      </c>
      <c r="G40" s="105">
        <f>ALL!BE41</f>
        <v>24509</v>
      </c>
      <c r="H40" s="103">
        <f>ALL!BF41</f>
        <v>100000</v>
      </c>
      <c r="I40" s="105">
        <f>ALL!BG41</f>
        <v>0</v>
      </c>
      <c r="J40" s="105">
        <f>ALL!BH41</f>
        <v>2545491</v>
      </c>
      <c r="K40" s="103">
        <f>ALL!B42</f>
        <v>39</v>
      </c>
      <c r="L40" s="103" t="str">
        <f>ALL!C42</f>
        <v>M.A Izzuddin Jazuli, S.Ag</v>
      </c>
      <c r="M40" s="103">
        <f t="shared" si="2"/>
        <v>2068064310</v>
      </c>
      <c r="N40" s="103">
        <f>ALL!BB42</f>
        <v>0</v>
      </c>
      <c r="O40" s="105">
        <f>ALL!BC42</f>
        <v>0</v>
      </c>
      <c r="P40" s="105">
        <f>ALL!BD42</f>
        <v>15000</v>
      </c>
      <c r="Q40" s="105">
        <f>ALL!BE42</f>
        <v>0</v>
      </c>
      <c r="R40" s="103">
        <f>ALL!BF42</f>
        <v>0</v>
      </c>
      <c r="S40" s="105">
        <f>ALL!BG42</f>
        <v>0</v>
      </c>
      <c r="T40" s="105">
        <f>ALL!BH42</f>
        <v>2759600</v>
      </c>
    </row>
    <row r="41" spans="1:20" x14ac:dyDescent="0.25">
      <c r="A41" s="103">
        <f>ALL!B42</f>
        <v>39</v>
      </c>
      <c r="B41" s="103" t="str">
        <f>ALL!C42</f>
        <v>M.A Izzuddin Jazuli, S.Ag</v>
      </c>
      <c r="C41" s="103">
        <v>2068064310</v>
      </c>
      <c r="D41" s="103">
        <f>ALL!BB42</f>
        <v>0</v>
      </c>
      <c r="E41" s="105">
        <f>ALL!BC42</f>
        <v>0</v>
      </c>
      <c r="F41" s="103">
        <f>ALL!BD42</f>
        <v>15000</v>
      </c>
      <c r="G41" s="105">
        <f>ALL!BE42</f>
        <v>0</v>
      </c>
      <c r="H41" s="103">
        <f>ALL!BF42</f>
        <v>0</v>
      </c>
      <c r="I41" s="105">
        <f>ALL!BG42</f>
        <v>0</v>
      </c>
      <c r="J41" s="105">
        <f>ALL!BH42</f>
        <v>2759600</v>
      </c>
      <c r="K41" s="103">
        <f>ALL!B43</f>
        <v>40</v>
      </c>
      <c r="L41" s="103" t="str">
        <f>ALL!C43</f>
        <v xml:space="preserve">Novia Aristyana, S.Pd. </v>
      </c>
      <c r="M41" s="103">
        <f t="shared" si="2"/>
        <v>3015118082</v>
      </c>
      <c r="N41" s="103">
        <f>ALL!BB43</f>
        <v>0</v>
      </c>
      <c r="O41" s="105">
        <f>ALL!BC43</f>
        <v>1365500</v>
      </c>
      <c r="P41" s="105">
        <f>ALL!BD43</f>
        <v>15000</v>
      </c>
      <c r="Q41" s="105">
        <f>ALL!BE43</f>
        <v>141705</v>
      </c>
      <c r="R41" s="103">
        <f>ALL!BF43</f>
        <v>200000</v>
      </c>
      <c r="S41" s="105">
        <f>ALL!BG43</f>
        <v>372000</v>
      </c>
      <c r="T41" s="105">
        <f>ALL!BH43</f>
        <v>684595</v>
      </c>
    </row>
    <row r="42" spans="1:20" x14ac:dyDescent="0.25">
      <c r="A42" s="103">
        <f>ALL!B43</f>
        <v>40</v>
      </c>
      <c r="B42" s="103" t="str">
        <f>ALL!C43</f>
        <v xml:space="preserve">Novia Aristyana, S.Pd. </v>
      </c>
      <c r="C42" s="141">
        <v>3015118082</v>
      </c>
      <c r="D42" s="103">
        <f>ALL!BB43</f>
        <v>0</v>
      </c>
      <c r="E42" s="105">
        <f>ALL!BC43</f>
        <v>1365500</v>
      </c>
      <c r="F42" s="103">
        <f>ALL!BD43</f>
        <v>15000</v>
      </c>
      <c r="G42" s="105">
        <f>ALL!BE43</f>
        <v>141705</v>
      </c>
      <c r="H42" s="103">
        <f>ALL!BF43</f>
        <v>200000</v>
      </c>
      <c r="I42" s="105">
        <f>ALL!BG43</f>
        <v>372000</v>
      </c>
      <c r="J42" s="105">
        <f>ALL!BH43</f>
        <v>684595</v>
      </c>
      <c r="K42" s="103">
        <f>ALL!B44</f>
        <v>41</v>
      </c>
      <c r="L42" s="103" t="str">
        <f>ALL!C44</f>
        <v>Ngatriatun, S.Pd.</v>
      </c>
      <c r="M42" s="103">
        <f t="shared" si="2"/>
        <v>3015118104</v>
      </c>
      <c r="N42" s="103">
        <f>ALL!BB44</f>
        <v>0</v>
      </c>
      <c r="O42" s="105">
        <f>ALL!BC44</f>
        <v>1335000</v>
      </c>
      <c r="P42" s="105">
        <f>ALL!BD44</f>
        <v>15000</v>
      </c>
      <c r="Q42" s="105">
        <f>ALL!BE44</f>
        <v>141705</v>
      </c>
      <c r="R42" s="103">
        <f>ALL!BF44</f>
        <v>100000</v>
      </c>
      <c r="S42" s="105">
        <f>ALL!BG44</f>
        <v>0</v>
      </c>
      <c r="T42" s="105">
        <f>ALL!BH44</f>
        <v>1362495</v>
      </c>
    </row>
    <row r="43" spans="1:20" x14ac:dyDescent="0.25">
      <c r="A43" s="103">
        <f>ALL!B44</f>
        <v>41</v>
      </c>
      <c r="B43" s="103" t="str">
        <f>ALL!C44</f>
        <v>Ngatriatun, S.Pd.</v>
      </c>
      <c r="C43" s="141">
        <v>3015118104</v>
      </c>
      <c r="D43" s="103">
        <f>ALL!BB44</f>
        <v>0</v>
      </c>
      <c r="E43" s="105">
        <f>ALL!BC44</f>
        <v>1335000</v>
      </c>
      <c r="F43" s="103">
        <f>ALL!BD44</f>
        <v>15000</v>
      </c>
      <c r="G43" s="105">
        <f>ALL!BE44</f>
        <v>141705</v>
      </c>
      <c r="H43" s="103">
        <f>ALL!BF44</f>
        <v>100000</v>
      </c>
      <c r="I43" s="105">
        <f>ALL!BG44</f>
        <v>0</v>
      </c>
      <c r="J43" s="105">
        <f>ALL!BH44</f>
        <v>1362495</v>
      </c>
      <c r="K43" s="103">
        <f>ALL!B45</f>
        <v>42</v>
      </c>
      <c r="L43" s="103" t="str">
        <f>ALL!C45</f>
        <v>Ernawati, M.Pd.</v>
      </c>
      <c r="M43" s="103">
        <f t="shared" si="2"/>
        <v>2015057559</v>
      </c>
      <c r="N43" s="103">
        <f>ALL!BB45</f>
        <v>200000</v>
      </c>
      <c r="O43" s="105">
        <f>ALL!BC45</f>
        <v>1335000</v>
      </c>
      <c r="P43" s="105">
        <f>ALL!BD45</f>
        <v>15000</v>
      </c>
      <c r="Q43" s="105">
        <f>ALL!BE45</f>
        <v>117196</v>
      </c>
      <c r="R43" s="103">
        <f>ALL!BF45</f>
        <v>100000</v>
      </c>
      <c r="S43" s="105">
        <f>ALL!BG45</f>
        <v>545000</v>
      </c>
      <c r="T43" s="105">
        <f>ALL!BH45</f>
        <v>707004</v>
      </c>
    </row>
    <row r="44" spans="1:20" x14ac:dyDescent="0.25">
      <c r="A44" s="103">
        <f>ALL!B45</f>
        <v>42</v>
      </c>
      <c r="B44" s="103" t="str">
        <f>ALL!C45</f>
        <v>Ernawati, M.Pd.</v>
      </c>
      <c r="C44" s="141">
        <v>2015057559</v>
      </c>
      <c r="D44" s="103">
        <f>ALL!BB45</f>
        <v>200000</v>
      </c>
      <c r="E44" s="105">
        <f>ALL!BC45</f>
        <v>1335000</v>
      </c>
      <c r="F44" s="103">
        <f>ALL!BD45</f>
        <v>15000</v>
      </c>
      <c r="G44" s="105">
        <f>ALL!BE45</f>
        <v>117196</v>
      </c>
      <c r="H44" s="103">
        <f>ALL!BF45</f>
        <v>100000</v>
      </c>
      <c r="I44" s="105">
        <f>ALL!BG45</f>
        <v>545000</v>
      </c>
      <c r="J44" s="105">
        <f>ALL!BH45</f>
        <v>707004</v>
      </c>
      <c r="K44" s="103">
        <f>ALL!B46</f>
        <v>43</v>
      </c>
      <c r="L44" s="103" t="str">
        <f>ALL!C46</f>
        <v xml:space="preserve">Layla Qodriyyana, S.Pd. </v>
      </c>
      <c r="M44" s="103">
        <f t="shared" si="2"/>
        <v>3015118147</v>
      </c>
      <c r="N44" s="103">
        <f>ALL!BB46</f>
        <v>200000</v>
      </c>
      <c r="O44" s="105">
        <f>ALL!BC46</f>
        <v>1335000</v>
      </c>
      <c r="P44" s="105">
        <f>ALL!BD46</f>
        <v>15000</v>
      </c>
      <c r="Q44" s="105">
        <f>ALL!BE46</f>
        <v>92687</v>
      </c>
      <c r="R44" s="103">
        <f>ALL!BF46</f>
        <v>0</v>
      </c>
      <c r="S44" s="105">
        <f>ALL!BG46</f>
        <v>0</v>
      </c>
      <c r="T44" s="105">
        <f>ALL!BH46</f>
        <v>1311513</v>
      </c>
    </row>
    <row r="45" spans="1:20" x14ac:dyDescent="0.25">
      <c r="A45" s="103">
        <f>ALL!B46</f>
        <v>43</v>
      </c>
      <c r="B45" s="103" t="str">
        <f>ALL!C46</f>
        <v xml:space="preserve">Layla Qodriyyana, S.Pd. </v>
      </c>
      <c r="C45" s="141">
        <v>3015118147</v>
      </c>
      <c r="D45" s="103">
        <f>ALL!BB46</f>
        <v>200000</v>
      </c>
      <c r="E45" s="105">
        <f>ALL!BC46</f>
        <v>1335000</v>
      </c>
      <c r="F45" s="103">
        <f>ALL!BD46</f>
        <v>15000</v>
      </c>
      <c r="G45" s="105">
        <f>ALL!BE46</f>
        <v>92687</v>
      </c>
      <c r="H45" s="103">
        <f>ALL!BF46</f>
        <v>0</v>
      </c>
      <c r="I45" s="105">
        <f>ALL!BG46</f>
        <v>0</v>
      </c>
      <c r="J45" s="105">
        <f>ALL!BH46</f>
        <v>1311513</v>
      </c>
      <c r="K45" s="103">
        <f>ALL!B47</f>
        <v>44</v>
      </c>
      <c r="L45" s="103" t="str">
        <f>ALL!C47</f>
        <v xml:space="preserve">Nur Janah, S.Pd. </v>
      </c>
      <c r="M45" s="103">
        <v>3015117973</v>
      </c>
      <c r="N45" s="103">
        <f>ALL!BB47</f>
        <v>0</v>
      </c>
      <c r="O45" s="105">
        <f>ALL!BC47</f>
        <v>1365500</v>
      </c>
      <c r="P45" s="105">
        <f>ALL!BD47</f>
        <v>15000</v>
      </c>
      <c r="Q45" s="105">
        <f>ALL!BE47</f>
        <v>92687</v>
      </c>
      <c r="R45" s="103">
        <f>ALL!BF47</f>
        <v>200000</v>
      </c>
      <c r="S45" s="105">
        <f>ALL!BG47</f>
        <v>545000</v>
      </c>
      <c r="T45" s="105">
        <f>ALL!BH47</f>
        <v>550213</v>
      </c>
    </row>
    <row r="46" spans="1:20" x14ac:dyDescent="0.25">
      <c r="A46" s="103">
        <f>ALL!B36</f>
        <v>33</v>
      </c>
      <c r="B46" s="103" t="str">
        <f>ALL!C36</f>
        <v>HUSNUL KHOTIMAH, S.Pd.</v>
      </c>
      <c r="C46" s="141">
        <v>2015258481</v>
      </c>
      <c r="D46" s="103">
        <f>ALL!BB36</f>
        <v>0</v>
      </c>
      <c r="E46" s="105">
        <f>ALL!BC36</f>
        <v>0</v>
      </c>
      <c r="F46" s="103">
        <f>ALL!BD36</f>
        <v>15000</v>
      </c>
      <c r="G46" s="105">
        <f>ALL!BE36</f>
        <v>0</v>
      </c>
      <c r="H46" s="103">
        <f>ALL!BF36</f>
        <v>0</v>
      </c>
      <c r="I46" s="105">
        <f>ALL!BG36</f>
        <v>0</v>
      </c>
      <c r="J46" s="105">
        <f>ALL!BH36</f>
        <v>2255000</v>
      </c>
      <c r="K46" s="103">
        <f>ALL!B48</f>
        <v>45</v>
      </c>
      <c r="L46" s="103" t="str">
        <f>ALL!C48</f>
        <v>Atana Ridhoka, Lc.</v>
      </c>
      <c r="M46" s="103">
        <f>C33</f>
        <v>3015219989</v>
      </c>
      <c r="N46" s="103">
        <f>ALL!BB48</f>
        <v>0</v>
      </c>
      <c r="O46" s="105">
        <f>ALL!BC48</f>
        <v>0</v>
      </c>
      <c r="P46" s="105">
        <f>ALL!BD48</f>
        <v>15000</v>
      </c>
      <c r="Q46" s="105">
        <f>ALL!BE48</f>
        <v>0</v>
      </c>
      <c r="R46" s="103">
        <f>ALL!BF48</f>
        <v>0</v>
      </c>
      <c r="S46" s="105">
        <f>ALL!BG48</f>
        <v>0</v>
      </c>
      <c r="T46" s="105">
        <f>ALL!BH48</f>
        <v>2718800</v>
      </c>
    </row>
    <row r="47" spans="1:20" x14ac:dyDescent="0.25">
      <c r="A47" s="103">
        <f>ALL!B49</f>
        <v>46</v>
      </c>
      <c r="B47" s="103" t="str">
        <f>ALL!C49</f>
        <v>Sugiyono/Sudarsono</v>
      </c>
      <c r="C47" s="103">
        <v>3015122390</v>
      </c>
      <c r="D47" s="103">
        <f>ALL!BB49</f>
        <v>0</v>
      </c>
      <c r="E47" s="105">
        <f>ALL!BC49</f>
        <v>0</v>
      </c>
      <c r="F47" s="103">
        <f>ALL!BD49</f>
        <v>15000</v>
      </c>
      <c r="G47" s="105">
        <f>ALL!BE49</f>
        <v>92687</v>
      </c>
      <c r="H47" s="103">
        <f>ALL!BF49</f>
        <v>100000</v>
      </c>
      <c r="I47" s="105">
        <f>ALL!BG49</f>
        <v>0</v>
      </c>
      <c r="J47" s="105">
        <f>ALL!BH49</f>
        <v>1106213</v>
      </c>
      <c r="K47" s="103">
        <f>ALL!B49</f>
        <v>46</v>
      </c>
      <c r="L47" s="103" t="str">
        <f>ALL!C49</f>
        <v>Sugiyono/Sudarsono</v>
      </c>
      <c r="M47" s="103">
        <f>C47</f>
        <v>3015122390</v>
      </c>
      <c r="N47" s="103">
        <f>ALL!BB49</f>
        <v>0</v>
      </c>
      <c r="O47" s="105">
        <f>ALL!BC49</f>
        <v>0</v>
      </c>
      <c r="P47" s="105">
        <f>ALL!BD49</f>
        <v>15000</v>
      </c>
      <c r="Q47" s="105">
        <f>ALL!BE49</f>
        <v>92687</v>
      </c>
      <c r="R47" s="103">
        <f>ALL!BF49</f>
        <v>100000</v>
      </c>
      <c r="S47" s="105">
        <f>ALL!BG49</f>
        <v>0</v>
      </c>
      <c r="T47" s="105">
        <f>ALL!BH49</f>
        <v>1106213</v>
      </c>
    </row>
    <row r="48" spans="1:20" x14ac:dyDescent="0.25">
      <c r="A48" s="103">
        <f>ALL!B50</f>
        <v>47</v>
      </c>
      <c r="B48" s="103" t="str">
        <f>ALL!C50</f>
        <v>Mishbahul Ulum, S.Pd.I</v>
      </c>
      <c r="C48" s="141">
        <v>3015118112</v>
      </c>
      <c r="D48" s="103">
        <f>ALL!BB50</f>
        <v>0</v>
      </c>
      <c r="E48" s="105">
        <f>ALL!BC50</f>
        <v>996500</v>
      </c>
      <c r="F48" s="103">
        <f>ALL!BD50</f>
        <v>15000</v>
      </c>
      <c r="G48" s="105">
        <f>ALL!BE50</f>
        <v>141705</v>
      </c>
      <c r="H48" s="103">
        <f>ALL!BF50</f>
        <v>100000</v>
      </c>
      <c r="I48" s="105">
        <f>ALL!BG50</f>
        <v>220000</v>
      </c>
      <c r="J48" s="105">
        <f>ALL!BH50</f>
        <v>1180995</v>
      </c>
      <c r="K48" s="103">
        <f>ALL!B50</f>
        <v>47</v>
      </c>
      <c r="L48" s="103" t="str">
        <f>ALL!C50</f>
        <v>Mishbahul Ulum, S.Pd.I</v>
      </c>
      <c r="M48" s="103">
        <f t="shared" ref="M48:M56" si="3">C48</f>
        <v>3015118112</v>
      </c>
      <c r="N48" s="103">
        <f>ALL!BB50</f>
        <v>0</v>
      </c>
      <c r="O48" s="105">
        <f>ALL!BC50</f>
        <v>996500</v>
      </c>
      <c r="P48" s="105">
        <f>ALL!BD50</f>
        <v>15000</v>
      </c>
      <c r="Q48" s="105">
        <f>ALL!BE50</f>
        <v>141705</v>
      </c>
      <c r="R48" s="103">
        <f>ALL!BF50</f>
        <v>100000</v>
      </c>
      <c r="S48" s="105">
        <f>ALL!BG50</f>
        <v>220000</v>
      </c>
      <c r="T48" s="105">
        <f>ALL!BH50</f>
        <v>1180995</v>
      </c>
    </row>
    <row r="49" spans="1:20" x14ac:dyDescent="0.25">
      <c r="A49" s="103">
        <f>ALL!B51</f>
        <v>48</v>
      </c>
      <c r="B49" s="103" t="str">
        <f>ALL!C51</f>
        <v>Setiawan</v>
      </c>
      <c r="C49" s="141">
        <v>2015143820</v>
      </c>
      <c r="D49" s="103">
        <f>ALL!BB51</f>
        <v>0</v>
      </c>
      <c r="E49" s="105">
        <f>ALL!BC51</f>
        <v>779000</v>
      </c>
      <c r="F49" s="103">
        <f>ALL!BD51</f>
        <v>15000</v>
      </c>
      <c r="G49" s="105">
        <f>ALL!BE51</f>
        <v>149057</v>
      </c>
      <c r="H49" s="103">
        <f>ALL!BF51</f>
        <v>200000</v>
      </c>
      <c r="I49" s="105">
        <f>ALL!BG51</f>
        <v>220000</v>
      </c>
      <c r="J49" s="105">
        <f>ALL!BH51</f>
        <v>736543</v>
      </c>
      <c r="K49" s="103">
        <f>ALL!B51</f>
        <v>48</v>
      </c>
      <c r="L49" s="103" t="str">
        <f>ALL!C51</f>
        <v>Setiawan</v>
      </c>
      <c r="M49" s="103">
        <f t="shared" si="3"/>
        <v>2015143820</v>
      </c>
      <c r="N49" s="103">
        <f>ALL!BB51</f>
        <v>0</v>
      </c>
      <c r="O49" s="105">
        <f>ALL!BC51</f>
        <v>779000</v>
      </c>
      <c r="P49" s="105">
        <f>ALL!BD51</f>
        <v>15000</v>
      </c>
      <c r="Q49" s="105">
        <f>ALL!BE51</f>
        <v>149057</v>
      </c>
      <c r="R49" s="103">
        <f>ALL!BF51</f>
        <v>200000</v>
      </c>
      <c r="S49" s="105">
        <f>ALL!BG51</f>
        <v>220000</v>
      </c>
      <c r="T49" s="105">
        <f>ALL!BH51</f>
        <v>736543</v>
      </c>
    </row>
    <row r="50" spans="1:20" x14ac:dyDescent="0.25">
      <c r="A50" s="103">
        <f>ALL!B52</f>
        <v>49</v>
      </c>
      <c r="B50" s="103" t="str">
        <f>ALL!C52</f>
        <v>Isniah</v>
      </c>
      <c r="C50" s="141">
        <v>2119024849</v>
      </c>
      <c r="D50" s="103">
        <f>ALL!BB52</f>
        <v>50000</v>
      </c>
      <c r="E50" s="105">
        <f>ALL!BC52</f>
        <v>556500</v>
      </c>
      <c r="F50" s="103">
        <f>ALL!BD52</f>
        <v>15000</v>
      </c>
      <c r="G50" s="105">
        <f>ALL!BE52</f>
        <v>68178</v>
      </c>
      <c r="H50" s="103">
        <f>ALL!BF52</f>
        <v>0</v>
      </c>
      <c r="I50" s="105">
        <f>ALL!BG52</f>
        <v>0</v>
      </c>
      <c r="J50" s="105">
        <f>ALL!BH52</f>
        <v>972422</v>
      </c>
      <c r="K50" s="103">
        <f>ALL!B52</f>
        <v>49</v>
      </c>
      <c r="L50" s="103" t="str">
        <f>ALL!C52</f>
        <v>Isniah</v>
      </c>
      <c r="M50" s="103">
        <f t="shared" si="3"/>
        <v>2119024849</v>
      </c>
      <c r="N50" s="103">
        <f>ALL!BB52</f>
        <v>50000</v>
      </c>
      <c r="O50" s="105">
        <f>ALL!BC52</f>
        <v>556500</v>
      </c>
      <c r="P50" s="105">
        <f>ALL!BD52</f>
        <v>15000</v>
      </c>
      <c r="Q50" s="105">
        <f>ALL!BE52</f>
        <v>68178</v>
      </c>
      <c r="R50" s="103">
        <f>ALL!BF52</f>
        <v>0</v>
      </c>
      <c r="S50" s="105">
        <f>ALL!BG52</f>
        <v>0</v>
      </c>
      <c r="T50" s="105">
        <f>ALL!BH52</f>
        <v>972422</v>
      </c>
    </row>
    <row r="51" spans="1:20" x14ac:dyDescent="0.25">
      <c r="A51" s="103">
        <f>ALL!B53</f>
        <v>50</v>
      </c>
      <c r="B51" s="103" t="str">
        <f>ALL!C53</f>
        <v>Sholikul Hadi</v>
      </c>
      <c r="C51" s="141">
        <v>3015134517</v>
      </c>
      <c r="D51" s="103">
        <f>ALL!BB53</f>
        <v>0</v>
      </c>
      <c r="E51" s="105">
        <f>ALL!BC53</f>
        <v>0</v>
      </c>
      <c r="F51" s="103">
        <f>ALL!BD53</f>
        <v>15000</v>
      </c>
      <c r="G51" s="105">
        <f>ALL!BE53</f>
        <v>92687</v>
      </c>
      <c r="H51" s="103">
        <f>ALL!BF53</f>
        <v>0</v>
      </c>
      <c r="I51" s="105">
        <f>ALL!BG53</f>
        <v>0</v>
      </c>
      <c r="J51" s="105">
        <f>ALL!BH53</f>
        <v>1386213</v>
      </c>
      <c r="K51" s="103">
        <f>ALL!B53</f>
        <v>50</v>
      </c>
      <c r="L51" s="103" t="str">
        <f>ALL!C53</f>
        <v>Sholikul Hadi</v>
      </c>
      <c r="M51" s="103">
        <f t="shared" si="3"/>
        <v>3015134517</v>
      </c>
      <c r="N51" s="103">
        <f>ALL!BB53</f>
        <v>0</v>
      </c>
      <c r="O51" s="105">
        <f>ALL!BC53</f>
        <v>0</v>
      </c>
      <c r="P51" s="105">
        <f>ALL!BD53</f>
        <v>15000</v>
      </c>
      <c r="Q51" s="105">
        <f>ALL!BE53</f>
        <v>92687</v>
      </c>
      <c r="R51" s="103">
        <f>ALL!BF53</f>
        <v>0</v>
      </c>
      <c r="S51" s="105">
        <f>ALL!BG53</f>
        <v>0</v>
      </c>
      <c r="T51" s="105">
        <f>ALL!BH53</f>
        <v>1386213</v>
      </c>
    </row>
    <row r="52" spans="1:20" x14ac:dyDescent="0.25">
      <c r="A52" s="103">
        <f>ALL!B54</f>
        <v>51</v>
      </c>
      <c r="B52" s="103" t="str">
        <f>ALL!C54</f>
        <v>Sutarno</v>
      </c>
      <c r="C52" s="141">
        <v>3015134541</v>
      </c>
      <c r="D52" s="103">
        <f>ALL!BB54</f>
        <v>0</v>
      </c>
      <c r="E52" s="105">
        <f>ALL!BC54</f>
        <v>395500</v>
      </c>
      <c r="F52" s="103">
        <f>ALL!BD54</f>
        <v>15000</v>
      </c>
      <c r="G52" s="105">
        <f>ALL!BE54</f>
        <v>117196</v>
      </c>
      <c r="H52" s="103">
        <f>ALL!BF54</f>
        <v>100000</v>
      </c>
      <c r="I52" s="105">
        <f>ALL!BG54</f>
        <v>0</v>
      </c>
      <c r="J52" s="105">
        <f>ALL!BH54</f>
        <v>1074604</v>
      </c>
      <c r="K52" s="103">
        <f>ALL!B54</f>
        <v>51</v>
      </c>
      <c r="L52" s="103" t="str">
        <f>ALL!C54</f>
        <v>Sutarno</v>
      </c>
      <c r="M52" s="103">
        <f t="shared" si="3"/>
        <v>3015134541</v>
      </c>
      <c r="N52" s="103">
        <f>ALL!BB54</f>
        <v>0</v>
      </c>
      <c r="O52" s="105">
        <f>ALL!BC54</f>
        <v>395500</v>
      </c>
      <c r="P52" s="105">
        <f>ALL!BD54</f>
        <v>15000</v>
      </c>
      <c r="Q52" s="105">
        <f>ALL!BE54</f>
        <v>117196</v>
      </c>
      <c r="R52" s="103">
        <f>ALL!BF54</f>
        <v>100000</v>
      </c>
      <c r="S52" s="105">
        <f>ALL!BG54</f>
        <v>0</v>
      </c>
      <c r="T52" s="105">
        <f>ALL!BH54</f>
        <v>1074604</v>
      </c>
    </row>
    <row r="53" spans="1:20" x14ac:dyDescent="0.25">
      <c r="A53" s="103">
        <f>ALL!B55</f>
        <v>52</v>
      </c>
      <c r="B53" s="103" t="str">
        <f>ALL!C55</f>
        <v>Purniawan</v>
      </c>
      <c r="C53" s="141">
        <v>2015144125</v>
      </c>
      <c r="D53" s="103">
        <f>ALL!BB55</f>
        <v>0</v>
      </c>
      <c r="E53" s="105">
        <f>ALL!BC55</f>
        <v>0</v>
      </c>
      <c r="F53" s="103">
        <f>ALL!BD55</f>
        <v>15000</v>
      </c>
      <c r="G53" s="105">
        <f>ALL!BE55</f>
        <v>0</v>
      </c>
      <c r="H53" s="103">
        <f>ALL!BF55</f>
        <v>0</v>
      </c>
      <c r="I53" s="105">
        <f>ALL!BG55</f>
        <v>0</v>
      </c>
      <c r="J53" s="105">
        <f>ALL!BH55</f>
        <v>1572100</v>
      </c>
      <c r="K53" s="103">
        <f>ALL!B55</f>
        <v>52</v>
      </c>
      <c r="L53" s="103" t="str">
        <f>ALL!C55</f>
        <v>Purniawan</v>
      </c>
      <c r="M53" s="103">
        <f t="shared" si="3"/>
        <v>2015144125</v>
      </c>
      <c r="N53" s="103">
        <f>ALL!BB55</f>
        <v>0</v>
      </c>
      <c r="O53" s="105">
        <f>ALL!BC55</f>
        <v>0</v>
      </c>
      <c r="P53" s="105">
        <f>ALL!BD55</f>
        <v>15000</v>
      </c>
      <c r="Q53" s="105">
        <f>ALL!BE55</f>
        <v>0</v>
      </c>
      <c r="R53" s="103">
        <f>ALL!BF55</f>
        <v>0</v>
      </c>
      <c r="S53" s="105">
        <f>ALL!BG55</f>
        <v>0</v>
      </c>
      <c r="T53" s="105">
        <f>ALL!BH55</f>
        <v>1572100</v>
      </c>
    </row>
    <row r="54" spans="1:20" x14ac:dyDescent="0.25">
      <c r="A54" s="103">
        <f>ALL!B56</f>
        <v>53</v>
      </c>
      <c r="B54" s="103" t="str">
        <f>ALL!C56</f>
        <v>Andi Hermawan</v>
      </c>
      <c r="C54" s="141">
        <v>2015144133</v>
      </c>
      <c r="D54" s="103">
        <f>ALL!BB56</f>
        <v>0</v>
      </c>
      <c r="E54" s="105">
        <f>ALL!BC56</f>
        <v>779000</v>
      </c>
      <c r="F54" s="103">
        <f>ALL!BD56</f>
        <v>15000</v>
      </c>
      <c r="G54" s="105">
        <f>ALL!BE56</f>
        <v>24509</v>
      </c>
      <c r="H54" s="103">
        <f>ALL!BF56</f>
        <v>0</v>
      </c>
      <c r="I54" s="105">
        <f>ALL!BG56</f>
        <v>0</v>
      </c>
      <c r="J54" s="105">
        <f>ALL!BH56</f>
        <v>794191</v>
      </c>
      <c r="K54" s="103">
        <f>ALL!B56</f>
        <v>53</v>
      </c>
      <c r="L54" s="103" t="str">
        <f>ALL!C56</f>
        <v>Andi Hermawan</v>
      </c>
      <c r="M54" s="103">
        <f t="shared" si="3"/>
        <v>2015144133</v>
      </c>
      <c r="N54" s="103">
        <f>ALL!BB56</f>
        <v>0</v>
      </c>
      <c r="O54" s="105">
        <f>ALL!BC56</f>
        <v>779000</v>
      </c>
      <c r="P54" s="105">
        <f>ALL!BD56</f>
        <v>15000</v>
      </c>
      <c r="Q54" s="105">
        <f>ALL!BE56</f>
        <v>24509</v>
      </c>
      <c r="R54" s="103">
        <f>ALL!BF56</f>
        <v>0</v>
      </c>
      <c r="S54" s="105">
        <f>ALL!BG56</f>
        <v>0</v>
      </c>
      <c r="T54" s="105">
        <f>ALL!BH56</f>
        <v>794191</v>
      </c>
    </row>
    <row r="55" spans="1:20" x14ac:dyDescent="0.25">
      <c r="A55" s="103">
        <f>ALL!B57</f>
        <v>54</v>
      </c>
      <c r="B55" s="103" t="str">
        <f>ALL!C57</f>
        <v>Muhammad Iqbal Romadhon</v>
      </c>
      <c r="C55" s="141">
        <v>2015144176</v>
      </c>
      <c r="D55" s="103">
        <f>ALL!BB57</f>
        <v>0</v>
      </c>
      <c r="E55" s="105">
        <f>ALL!BC57</f>
        <v>0</v>
      </c>
      <c r="F55" s="103">
        <f>ALL!BD57</f>
        <v>15000</v>
      </c>
      <c r="G55" s="105">
        <f>ALL!BE57</f>
        <v>0</v>
      </c>
      <c r="H55" s="103">
        <f>ALL!BF57</f>
        <v>0</v>
      </c>
      <c r="I55" s="105">
        <f>ALL!BG57</f>
        <v>0</v>
      </c>
      <c r="J55" s="105">
        <f>ALL!BH57</f>
        <v>1508100</v>
      </c>
      <c r="K55" s="103">
        <f>ALL!B57</f>
        <v>54</v>
      </c>
      <c r="L55" s="103" t="str">
        <f>ALL!C57</f>
        <v>Muhammad Iqbal Romadhon</v>
      </c>
      <c r="M55" s="103">
        <f t="shared" si="3"/>
        <v>2015144176</v>
      </c>
      <c r="N55" s="103">
        <f>ALL!BB57</f>
        <v>0</v>
      </c>
      <c r="O55" s="105">
        <f>ALL!BC57</f>
        <v>0</v>
      </c>
      <c r="P55" s="105">
        <f>ALL!BD57</f>
        <v>15000</v>
      </c>
      <c r="Q55" s="105">
        <f>ALL!BE57</f>
        <v>0</v>
      </c>
      <c r="R55" s="103">
        <f>ALL!BF57</f>
        <v>0</v>
      </c>
      <c r="S55" s="105">
        <f>ALL!BG57</f>
        <v>0</v>
      </c>
      <c r="T55" s="105">
        <f>ALL!BH57</f>
        <v>1508100</v>
      </c>
    </row>
    <row r="56" spans="1:20" x14ac:dyDescent="0.25">
      <c r="A56" s="103">
        <f>ALL!B58</f>
        <v>55</v>
      </c>
      <c r="B56" s="103" t="str">
        <f>ALL!C58</f>
        <v>Muhammad Miftakhur Rosyad</v>
      </c>
      <c r="C56" s="141">
        <v>3015216408</v>
      </c>
      <c r="D56" s="103">
        <f>ALL!BB58</f>
        <v>0</v>
      </c>
      <c r="E56" s="105">
        <f>ALL!BC58</f>
        <v>0</v>
      </c>
      <c r="F56" s="103">
        <f>ALL!BD58</f>
        <v>15000</v>
      </c>
      <c r="G56" s="105">
        <f>ALL!BE58</f>
        <v>0</v>
      </c>
      <c r="H56" s="103">
        <f>ALL!BF58</f>
        <v>0</v>
      </c>
      <c r="I56" s="105">
        <f>ALL!BG58</f>
        <v>0</v>
      </c>
      <c r="J56" s="105">
        <f>ALL!BH58</f>
        <v>1465200</v>
      </c>
      <c r="K56" s="103">
        <f>ALL!B58</f>
        <v>55</v>
      </c>
      <c r="L56" s="103" t="str">
        <f>ALL!C58</f>
        <v>Muhammad Miftakhur Rosyad</v>
      </c>
      <c r="M56" s="103">
        <f t="shared" si="3"/>
        <v>3015216408</v>
      </c>
      <c r="N56" s="103">
        <f>ALL!BB58</f>
        <v>0</v>
      </c>
      <c r="O56" s="105">
        <f>ALL!BC58</f>
        <v>0</v>
      </c>
      <c r="P56" s="105">
        <f>ALL!BD58</f>
        <v>15000</v>
      </c>
      <c r="Q56" s="105">
        <f>ALL!BE58</f>
        <v>0</v>
      </c>
      <c r="R56" s="103">
        <f>ALL!BF58</f>
        <v>0</v>
      </c>
      <c r="S56" s="105">
        <f>ALL!BG58</f>
        <v>0</v>
      </c>
      <c r="T56" s="105">
        <f>ALL!BH58</f>
        <v>1465200</v>
      </c>
    </row>
    <row r="57" spans="1:20" x14ac:dyDescent="0.25">
      <c r="A57" s="103">
        <f>ALL!B59</f>
        <v>56</v>
      </c>
      <c r="B57" s="103" t="str">
        <f>ALL!C59</f>
        <v>Aminatul Munawwaroh Al Hafidhoh</v>
      </c>
      <c r="C57" s="141">
        <v>3015127766</v>
      </c>
      <c r="D57" s="103">
        <f>ALL!BB59</f>
        <v>0</v>
      </c>
      <c r="E57" s="105">
        <f>ALL!BC59</f>
        <v>0</v>
      </c>
      <c r="F57" s="103">
        <f>ALL!BD59</f>
        <v>15000</v>
      </c>
      <c r="G57" s="105">
        <f>ALL!BE59</f>
        <v>92687</v>
      </c>
      <c r="H57" s="103">
        <f>ALL!BF59</f>
        <v>200000</v>
      </c>
      <c r="I57" s="105">
        <f>ALL!BG59</f>
        <v>0</v>
      </c>
      <c r="J57" s="105">
        <f>ALL!BH59</f>
        <v>2131513</v>
      </c>
      <c r="K57" s="103">
        <f>ALL!B59</f>
        <v>56</v>
      </c>
      <c r="L57" s="103" t="str">
        <f>ALL!C59</f>
        <v>Aminatul Munawwaroh Al Hafidhoh</v>
      </c>
      <c r="M57" s="103">
        <f>C57</f>
        <v>3015127766</v>
      </c>
      <c r="N57" s="103">
        <f>ALL!BB59</f>
        <v>0</v>
      </c>
      <c r="O57" s="105">
        <f>ALL!BC59</f>
        <v>0</v>
      </c>
      <c r="P57" s="105">
        <f>ALL!BD59</f>
        <v>15000</v>
      </c>
      <c r="Q57" s="105">
        <f>ALL!BE59</f>
        <v>92687</v>
      </c>
      <c r="R57" s="103">
        <f>ALL!BF59</f>
        <v>200000</v>
      </c>
      <c r="S57" s="105">
        <f>ALL!BG59</f>
        <v>0</v>
      </c>
      <c r="T57" s="105">
        <f>ALL!BH59</f>
        <v>2131513</v>
      </c>
    </row>
    <row r="58" spans="1:20" x14ac:dyDescent="0.25">
      <c r="A58" s="103">
        <f>ALL!B60</f>
        <v>57</v>
      </c>
      <c r="B58" s="103" t="str">
        <f>ALL!C60</f>
        <v>Mufrotul Ulum</v>
      </c>
      <c r="C58" s="141">
        <f>[3]BPD!$D$67</f>
        <v>3119043122</v>
      </c>
      <c r="D58" s="103">
        <f>ALL!BB60</f>
        <v>0</v>
      </c>
      <c r="E58" s="105">
        <f>ALL!BC60</f>
        <v>565000</v>
      </c>
      <c r="F58" s="103">
        <f>ALL!BD60</f>
        <v>15000</v>
      </c>
      <c r="G58" s="105">
        <f>ALL!BE60</f>
        <v>24509</v>
      </c>
      <c r="H58" s="103">
        <f>ALL!BF60</f>
        <v>200000</v>
      </c>
      <c r="I58" s="105">
        <f>ALL!BG60</f>
        <v>440000</v>
      </c>
      <c r="J58" s="105">
        <f>ALL!BH60</f>
        <v>1159891</v>
      </c>
      <c r="K58" s="103">
        <f>ALL!B60</f>
        <v>57</v>
      </c>
      <c r="L58" s="103" t="str">
        <f>ALL!C60</f>
        <v>Mufrotul Ulum</v>
      </c>
      <c r="M58" s="103">
        <f>C58</f>
        <v>3119043122</v>
      </c>
      <c r="N58" s="103">
        <f>ALL!BB60</f>
        <v>0</v>
      </c>
      <c r="O58" s="105">
        <f>ALL!BC60</f>
        <v>565000</v>
      </c>
      <c r="P58" s="105">
        <f>ALL!BD60</f>
        <v>15000</v>
      </c>
      <c r="Q58" s="105">
        <f>ALL!BE60</f>
        <v>24509</v>
      </c>
      <c r="R58" s="103">
        <f>ALL!BF60</f>
        <v>200000</v>
      </c>
      <c r="S58" s="105">
        <f>ALL!BG60</f>
        <v>440000</v>
      </c>
      <c r="T58" s="105">
        <f>ALL!BH60</f>
        <v>1159891</v>
      </c>
    </row>
    <row r="59" spans="1:20" x14ac:dyDescent="0.25">
      <c r="A59" s="103">
        <f>ALL!B71</f>
        <v>68</v>
      </c>
      <c r="B59" s="103" t="str">
        <f>ALL!C71</f>
        <v>Khotimatul Khusna, S.Pd.I</v>
      </c>
      <c r="C59" s="141">
        <v>3015118155</v>
      </c>
      <c r="D59" s="103">
        <f>ALL!BB71</f>
        <v>0</v>
      </c>
      <c r="E59" s="105">
        <f>ALL!BC71</f>
        <v>0</v>
      </c>
      <c r="F59" s="103">
        <f>ALL!BD71</f>
        <v>15000</v>
      </c>
      <c r="G59" s="105">
        <f>ALL!BE71</f>
        <v>73527</v>
      </c>
      <c r="H59" s="103">
        <f>ALL!BF71</f>
        <v>200000</v>
      </c>
      <c r="I59" s="105">
        <f>ALL!BG71</f>
        <v>0</v>
      </c>
      <c r="J59" s="105">
        <f>ALL!BH71</f>
        <v>0</v>
      </c>
      <c r="K59" s="103">
        <f>ALL!B61</f>
        <v>58</v>
      </c>
      <c r="L59" s="103" t="str">
        <f>ALL!C61</f>
        <v>Nor Umaroh, S.Sy</v>
      </c>
      <c r="M59" s="103">
        <f t="shared" ref="M59:M67" si="4">C60</f>
        <v>3015118031</v>
      </c>
      <c r="N59" s="103">
        <f>ALL!BB61</f>
        <v>0</v>
      </c>
      <c r="O59" s="105">
        <f>ALL!BC61</f>
        <v>790500</v>
      </c>
      <c r="P59" s="105">
        <f>ALL!BD61</f>
        <v>15000</v>
      </c>
      <c r="Q59" s="105">
        <f>ALL!BE61</f>
        <v>24509</v>
      </c>
      <c r="R59" s="103">
        <f>ALL!BF61</f>
        <v>100000</v>
      </c>
      <c r="S59" s="105">
        <f>ALL!BG61</f>
        <v>0</v>
      </c>
      <c r="T59" s="105">
        <f>ALL!BH61</f>
        <v>1209191</v>
      </c>
    </row>
    <row r="60" spans="1:20" x14ac:dyDescent="0.25">
      <c r="A60" s="103">
        <f>ALL!B61</f>
        <v>58</v>
      </c>
      <c r="B60" s="103" t="str">
        <f>ALL!C61</f>
        <v>Nor Umaroh, S.Sy</v>
      </c>
      <c r="C60" s="141">
        <v>3015118031</v>
      </c>
      <c r="D60" s="103">
        <f>ALL!BB61</f>
        <v>0</v>
      </c>
      <c r="E60" s="105">
        <f>ALL!BC61</f>
        <v>790500</v>
      </c>
      <c r="F60" s="103">
        <f>ALL!BD61</f>
        <v>15000</v>
      </c>
      <c r="G60" s="105">
        <f>ALL!BE61</f>
        <v>24509</v>
      </c>
      <c r="H60" s="103">
        <f>ALL!BF61</f>
        <v>100000</v>
      </c>
      <c r="I60" s="105">
        <f>ALL!BG61</f>
        <v>0</v>
      </c>
      <c r="J60" s="105">
        <f>ALL!BH61</f>
        <v>1209191</v>
      </c>
      <c r="K60" s="103">
        <f>ALL!B62</f>
        <v>59</v>
      </c>
      <c r="L60" s="103" t="str">
        <f>ALL!C62</f>
        <v>Umi Hanik</v>
      </c>
      <c r="M60" s="103">
        <f t="shared" si="4"/>
        <v>3015147597</v>
      </c>
      <c r="N60" s="103">
        <f>ALL!BB62</f>
        <v>0</v>
      </c>
      <c r="O60" s="105">
        <f>ALL!BC62</f>
        <v>0</v>
      </c>
      <c r="P60" s="105">
        <f>ALL!BD62</f>
        <v>15000</v>
      </c>
      <c r="Q60" s="105">
        <f>ALL!BE62</f>
        <v>0</v>
      </c>
      <c r="R60" s="103">
        <f>ALL!BF62</f>
        <v>0</v>
      </c>
      <c r="S60" s="105">
        <f>ALL!BG62</f>
        <v>0</v>
      </c>
      <c r="T60" s="105">
        <f>ALL!BH62</f>
        <v>2089600</v>
      </c>
    </row>
    <row r="61" spans="1:20" x14ac:dyDescent="0.25">
      <c r="A61" s="103">
        <f>ALL!B62</f>
        <v>59</v>
      </c>
      <c r="B61" s="103" t="str">
        <f>ALL!C62</f>
        <v>Umi Hanik</v>
      </c>
      <c r="C61" s="141">
        <v>3015147597</v>
      </c>
      <c r="D61" s="103">
        <f>ALL!BB62</f>
        <v>0</v>
      </c>
      <c r="E61" s="105">
        <f>ALL!BC62</f>
        <v>0</v>
      </c>
      <c r="F61" s="103">
        <f>ALL!BD62</f>
        <v>15000</v>
      </c>
      <c r="G61" s="105">
        <f>ALL!BE62</f>
        <v>0</v>
      </c>
      <c r="H61" s="103">
        <f>ALL!BF62</f>
        <v>0</v>
      </c>
      <c r="I61" s="105">
        <f>ALL!BG62</f>
        <v>0</v>
      </c>
      <c r="J61" s="105">
        <f>ALL!BH62</f>
        <v>2089600</v>
      </c>
      <c r="K61" s="103">
        <f>ALL!B63</f>
        <v>60</v>
      </c>
      <c r="L61" s="103" t="str">
        <f>ALL!C63</f>
        <v>Wahyuti, Al Hafidhoh</v>
      </c>
      <c r="M61" s="103">
        <f t="shared" si="4"/>
        <v>3015146868</v>
      </c>
      <c r="N61" s="103">
        <f>ALL!BB63</f>
        <v>0</v>
      </c>
      <c r="O61" s="105">
        <f>ALL!BC63</f>
        <v>0</v>
      </c>
      <c r="P61" s="105">
        <f>ALL!BD63</f>
        <v>15000</v>
      </c>
      <c r="Q61" s="105">
        <f>ALL!BE63</f>
        <v>0</v>
      </c>
      <c r="R61" s="103">
        <f>ALL!BF63</f>
        <v>100000</v>
      </c>
      <c r="S61" s="105">
        <f>ALL!BG63</f>
        <v>0</v>
      </c>
      <c r="T61" s="105">
        <f>ALL!BH63</f>
        <v>2026000</v>
      </c>
    </row>
    <row r="62" spans="1:20" x14ac:dyDescent="0.25">
      <c r="A62" s="103">
        <f>ALL!B63</f>
        <v>60</v>
      </c>
      <c r="B62" s="103" t="str">
        <f>ALL!C63</f>
        <v>Wahyuti, Al Hafidhoh</v>
      </c>
      <c r="C62" s="141">
        <f>[3]BPD!$D$69</f>
        <v>3015146868</v>
      </c>
      <c r="D62" s="103">
        <f>ALL!BB63</f>
        <v>0</v>
      </c>
      <c r="E62" s="105">
        <f>ALL!BC63</f>
        <v>0</v>
      </c>
      <c r="F62" s="103">
        <f>ALL!BD63</f>
        <v>15000</v>
      </c>
      <c r="G62" s="105">
        <f>ALL!BE63</f>
        <v>0</v>
      </c>
      <c r="H62" s="103">
        <f>ALL!BF63</f>
        <v>100000</v>
      </c>
      <c r="I62" s="105">
        <f>ALL!BG63</f>
        <v>0</v>
      </c>
      <c r="J62" s="105">
        <f>ALL!BH63</f>
        <v>2026000</v>
      </c>
      <c r="K62" s="103">
        <f>ALL!B64</f>
        <v>61</v>
      </c>
      <c r="L62" s="103" t="str">
        <f>ALL!C64</f>
        <v>Shoutul Hidayah Al Hafidhoh</v>
      </c>
      <c r="M62" s="103">
        <f t="shared" si="4"/>
        <v>2119022269</v>
      </c>
      <c r="N62" s="103">
        <f>ALL!BB64</f>
        <v>0</v>
      </c>
      <c r="O62" s="105">
        <f>ALL!BC64</f>
        <v>664500</v>
      </c>
      <c r="P62" s="105">
        <f>ALL!BD64</f>
        <v>15000</v>
      </c>
      <c r="Q62" s="105">
        <f>ALL!BE64</f>
        <v>68178</v>
      </c>
      <c r="R62" s="103">
        <f>ALL!BF64</f>
        <v>100000</v>
      </c>
      <c r="S62" s="105">
        <f>ALL!BG64</f>
        <v>250000</v>
      </c>
      <c r="T62" s="105">
        <f>ALL!BH64</f>
        <v>1342522</v>
      </c>
    </row>
    <row r="63" spans="1:20" x14ac:dyDescent="0.25">
      <c r="A63" s="103">
        <f>ALL!B64</f>
        <v>61</v>
      </c>
      <c r="B63" s="103" t="str">
        <f>ALL!C64</f>
        <v>Shoutul Hidayah Al Hafidhoh</v>
      </c>
      <c r="C63" s="141">
        <v>2119022269</v>
      </c>
      <c r="D63" s="103">
        <f>ALL!BB64</f>
        <v>0</v>
      </c>
      <c r="E63" s="105">
        <f>ALL!BC64</f>
        <v>664500</v>
      </c>
      <c r="F63" s="103">
        <f>ALL!BD64</f>
        <v>15000</v>
      </c>
      <c r="G63" s="105">
        <f>ALL!BE64</f>
        <v>68178</v>
      </c>
      <c r="H63" s="103">
        <f>ALL!BF64</f>
        <v>100000</v>
      </c>
      <c r="I63" s="105">
        <f>ALL!BG64</f>
        <v>250000</v>
      </c>
      <c r="J63" s="105">
        <f>ALL!BH64</f>
        <v>1342522</v>
      </c>
      <c r="K63" s="103">
        <f>ALL!B65</f>
        <v>62</v>
      </c>
      <c r="L63" s="103" t="str">
        <f>ALL!C65</f>
        <v>Alfi Syafa'atin Al Hafidhoh</v>
      </c>
      <c r="M63" s="103">
        <f t="shared" si="4"/>
        <v>2015153680</v>
      </c>
      <c r="N63" s="103">
        <f>ALL!BB65</f>
        <v>0</v>
      </c>
      <c r="O63" s="105">
        <f>ALL!BC65</f>
        <v>941500</v>
      </c>
      <c r="P63" s="105">
        <f>ALL!BD65</f>
        <v>15000</v>
      </c>
      <c r="Q63" s="105">
        <f>ALL!BE65</f>
        <v>0</v>
      </c>
      <c r="R63" s="103">
        <f>ALL!BF65</f>
        <v>100000</v>
      </c>
      <c r="S63" s="105">
        <f>ALL!BG65</f>
        <v>0</v>
      </c>
      <c r="T63" s="105">
        <f>ALL!BH65</f>
        <v>1152500</v>
      </c>
    </row>
    <row r="64" spans="1:20" x14ac:dyDescent="0.25">
      <c r="A64" s="103">
        <f>ALL!B65</f>
        <v>62</v>
      </c>
      <c r="B64" s="103" t="str">
        <f>ALL!C65</f>
        <v>Alfi Syafa'atin Al Hafidhoh</v>
      </c>
      <c r="C64" s="103">
        <v>2015153680</v>
      </c>
      <c r="D64" s="103">
        <f>ALL!BB65</f>
        <v>0</v>
      </c>
      <c r="E64" s="105">
        <f>ALL!BC65</f>
        <v>941500</v>
      </c>
      <c r="F64" s="103">
        <f>ALL!BD65</f>
        <v>15000</v>
      </c>
      <c r="G64" s="105">
        <f>ALL!BE65</f>
        <v>0</v>
      </c>
      <c r="H64" s="103">
        <f>ALL!BF65</f>
        <v>100000</v>
      </c>
      <c r="I64" s="105">
        <f>ALL!BG65</f>
        <v>0</v>
      </c>
      <c r="J64" s="105">
        <f>ALL!BH65</f>
        <v>1152500</v>
      </c>
      <c r="K64" s="103">
        <f>ALL!B66</f>
        <v>63</v>
      </c>
      <c r="L64" s="103" t="str">
        <f>ALL!C66</f>
        <v>Ulya Nailus Saadah Al Hafidhoh</v>
      </c>
      <c r="M64" s="103">
        <f t="shared" si="4"/>
        <v>3119045036</v>
      </c>
      <c r="N64" s="103">
        <f>ALL!BB66</f>
        <v>0</v>
      </c>
      <c r="O64" s="105">
        <f>ALL!BC66</f>
        <v>0</v>
      </c>
      <c r="P64" s="105">
        <f>ALL!BD66</f>
        <v>15000</v>
      </c>
      <c r="Q64" s="105">
        <f>ALL!BE66</f>
        <v>0</v>
      </c>
      <c r="R64" s="103">
        <f>ALL!BF66</f>
        <v>100000</v>
      </c>
      <c r="S64" s="105">
        <f>ALL!BG66</f>
        <v>0</v>
      </c>
      <c r="T64" s="105">
        <f>ALL!BH66</f>
        <v>1900000</v>
      </c>
    </row>
    <row r="65" spans="1:20" x14ac:dyDescent="0.25">
      <c r="A65" s="103">
        <f>ALL!B66</f>
        <v>63</v>
      </c>
      <c r="B65" s="103" t="str">
        <f>ALL!C66</f>
        <v>Ulya Nailus Saadah Al Hafidhoh</v>
      </c>
      <c r="C65" s="141">
        <f>[3]BPD!$D$68</f>
        <v>3119045036</v>
      </c>
      <c r="D65" s="103">
        <f>ALL!BB66</f>
        <v>0</v>
      </c>
      <c r="E65" s="105">
        <f>ALL!BC66</f>
        <v>0</v>
      </c>
      <c r="F65" s="103">
        <f>ALL!BD66</f>
        <v>15000</v>
      </c>
      <c r="G65" s="105">
        <f>ALL!BE66</f>
        <v>0</v>
      </c>
      <c r="H65" s="103">
        <f>ALL!BF66</f>
        <v>100000</v>
      </c>
      <c r="I65" s="105">
        <f>ALL!BG66</f>
        <v>0</v>
      </c>
      <c r="J65" s="105">
        <f>ALL!BH66</f>
        <v>1900000</v>
      </c>
      <c r="K65" s="103">
        <f>ALL!B67</f>
        <v>64</v>
      </c>
      <c r="L65" s="103" t="str">
        <f>ALL!C67</f>
        <v>Rochmatun, S.Sy</v>
      </c>
      <c r="M65" s="103">
        <f t="shared" si="4"/>
        <v>2119033881</v>
      </c>
      <c r="N65" s="103">
        <f>ALL!BB67</f>
        <v>0</v>
      </c>
      <c r="O65" s="105">
        <f>ALL!BC67</f>
        <v>706500</v>
      </c>
      <c r="P65" s="105">
        <f>ALL!BD67</f>
        <v>15000</v>
      </c>
      <c r="Q65" s="105">
        <f>ALL!BE67</f>
        <v>0</v>
      </c>
      <c r="R65" s="103">
        <f>ALL!BF67</f>
        <v>0</v>
      </c>
      <c r="S65" s="105">
        <f>ALL!BG67</f>
        <v>0</v>
      </c>
      <c r="T65" s="105">
        <f>ALL!BH67</f>
        <v>1367700</v>
      </c>
    </row>
    <row r="66" spans="1:20" x14ac:dyDescent="0.25">
      <c r="A66" s="103">
        <f>ALL!B67</f>
        <v>64</v>
      </c>
      <c r="B66" s="103" t="str">
        <f>ALL!C67</f>
        <v>Rochmatun, S.Sy</v>
      </c>
      <c r="C66" s="141">
        <v>2119033881</v>
      </c>
      <c r="D66" s="103">
        <f>ALL!BB67</f>
        <v>0</v>
      </c>
      <c r="E66" s="105">
        <f>ALL!BC67</f>
        <v>706500</v>
      </c>
      <c r="F66" s="103">
        <f>ALL!BD67</f>
        <v>15000</v>
      </c>
      <c r="G66" s="105">
        <f>ALL!BE67</f>
        <v>0</v>
      </c>
      <c r="H66" s="103">
        <f>ALL!BF67</f>
        <v>0</v>
      </c>
      <c r="I66" s="105">
        <f>ALL!BG67</f>
        <v>0</v>
      </c>
      <c r="J66" s="105">
        <f>ALL!BH67</f>
        <v>1367700</v>
      </c>
      <c r="K66" s="103">
        <f>ALL!B68</f>
        <v>65</v>
      </c>
      <c r="L66" s="103" t="str">
        <f>ALL!C68</f>
        <v>Zeni Nur Lathifah, S.Ag Al Hafidhoh</v>
      </c>
      <c r="M66" s="103">
        <f t="shared" si="4"/>
        <v>2015168997</v>
      </c>
      <c r="N66" s="103">
        <f>ALL!BB68</f>
        <v>0</v>
      </c>
      <c r="O66" s="105">
        <f>ALL!BC68</f>
        <v>790500</v>
      </c>
      <c r="P66" s="105">
        <f>ALL!BD68</f>
        <v>15000</v>
      </c>
      <c r="Q66" s="105">
        <f>ALL!BE68</f>
        <v>0</v>
      </c>
      <c r="R66" s="103">
        <f>ALL!BF68</f>
        <v>0</v>
      </c>
      <c r="S66" s="105">
        <f>ALL!BG68</f>
        <v>0</v>
      </c>
      <c r="T66" s="105">
        <f>ALL!BH68</f>
        <v>1379500</v>
      </c>
    </row>
    <row r="67" spans="1:20" x14ac:dyDescent="0.25">
      <c r="A67" s="103">
        <f>ALL!B68</f>
        <v>65</v>
      </c>
      <c r="B67" s="103" t="str">
        <f>ALL!C68</f>
        <v>Zeni Nur Lathifah, S.Ag Al Hafidhoh</v>
      </c>
      <c r="C67" s="103">
        <v>2015168997</v>
      </c>
      <c r="D67" s="103">
        <f>ALL!BB68</f>
        <v>0</v>
      </c>
      <c r="E67" s="105">
        <f>ALL!BC68</f>
        <v>790500</v>
      </c>
      <c r="F67" s="103">
        <f>ALL!BD68</f>
        <v>15000</v>
      </c>
      <c r="G67" s="105">
        <f>ALL!BE68</f>
        <v>0</v>
      </c>
      <c r="H67" s="103">
        <f>ALL!BF68</f>
        <v>0</v>
      </c>
      <c r="I67" s="105">
        <f>ALL!BG68</f>
        <v>0</v>
      </c>
      <c r="J67" s="105">
        <f>ALL!BH68</f>
        <v>1379500</v>
      </c>
      <c r="K67" s="103">
        <f>ALL!B69</f>
        <v>66</v>
      </c>
      <c r="L67" s="103" t="str">
        <f>ALL!C69</f>
        <v>M. Zaim Darojat, S.Pd Al hafidz</v>
      </c>
      <c r="M67" s="103">
        <f t="shared" si="4"/>
        <v>2015168971</v>
      </c>
      <c r="N67" s="103">
        <f>ALL!BB69</f>
        <v>0</v>
      </c>
      <c r="O67" s="105">
        <f>ALL!BC69</f>
        <v>0</v>
      </c>
      <c r="P67" s="105">
        <f>ALL!BD69</f>
        <v>15000</v>
      </c>
      <c r="Q67" s="105">
        <f>ALL!BE69</f>
        <v>0</v>
      </c>
      <c r="R67" s="103">
        <f>ALL!BF69</f>
        <v>100000</v>
      </c>
      <c r="S67" s="105">
        <f>ALL!BG69</f>
        <v>0</v>
      </c>
      <c r="T67" s="105">
        <f>ALL!BH69</f>
        <v>2104600</v>
      </c>
    </row>
    <row r="68" spans="1:20" x14ac:dyDescent="0.25">
      <c r="A68" s="103">
        <f>ALL!B69</f>
        <v>66</v>
      </c>
      <c r="B68" s="103" t="str">
        <f>ALL!C69</f>
        <v>M. Zaim Darojat, S.Pd Al hafidz</v>
      </c>
      <c r="C68" s="103">
        <v>2015168971</v>
      </c>
      <c r="D68" s="103">
        <f>ALL!BB69</f>
        <v>0</v>
      </c>
      <c r="E68" s="105">
        <f>ALL!BC69</f>
        <v>0</v>
      </c>
      <c r="F68" s="103">
        <f>ALL!BD69</f>
        <v>15000</v>
      </c>
      <c r="G68" s="105">
        <f>ALL!BE69</f>
        <v>0</v>
      </c>
      <c r="H68" s="103">
        <f>ALL!BF69</f>
        <v>100000</v>
      </c>
      <c r="I68" s="105">
        <f>ALL!BG69</f>
        <v>0</v>
      </c>
      <c r="J68" s="105">
        <f>ALL!BH69</f>
        <v>2104600</v>
      </c>
      <c r="K68" s="103">
        <f>ALL!B70</f>
        <v>67</v>
      </c>
      <c r="L68" s="103" t="str">
        <f>ALL!C70</f>
        <v>A. Syehmi Samchan</v>
      </c>
      <c r="M68" s="103">
        <f>C68</f>
        <v>2015168971</v>
      </c>
      <c r="N68" s="103">
        <f>ALL!BB70</f>
        <v>0</v>
      </c>
      <c r="O68" s="105">
        <f>ALL!BC70</f>
        <v>0</v>
      </c>
      <c r="P68" s="105">
        <f>ALL!BD70</f>
        <v>15000</v>
      </c>
      <c r="Q68" s="105">
        <f>ALL!BE70</f>
        <v>0</v>
      </c>
      <c r="R68" s="103">
        <f>ALL!BF70</f>
        <v>100000</v>
      </c>
      <c r="S68" s="105">
        <f>ALL!BG70</f>
        <v>0</v>
      </c>
      <c r="T68" s="105">
        <f>ALL!BH70</f>
        <v>1804000</v>
      </c>
    </row>
    <row r="69" spans="1:20" x14ac:dyDescent="0.25">
      <c r="A69" s="103">
        <f>ALL!B72</f>
        <v>69</v>
      </c>
      <c r="B69" s="103" t="str">
        <f>ALL!C72</f>
        <v>Zulfaa, S.Ag</v>
      </c>
      <c r="C69" s="141">
        <f>[3]BPD!$D$70</f>
        <v>3015146060</v>
      </c>
      <c r="D69" s="103">
        <f>ALL!BB72</f>
        <v>0</v>
      </c>
      <c r="E69" s="105">
        <f>ALL!BC72</f>
        <v>0</v>
      </c>
      <c r="F69" s="103">
        <f>ALL!BD72</f>
        <v>15000</v>
      </c>
      <c r="G69" s="105">
        <f>ALL!BE72</f>
        <v>0</v>
      </c>
      <c r="H69" s="103">
        <f>ALL!BF72</f>
        <v>100000</v>
      </c>
      <c r="I69" s="105">
        <f>ALL!BG72</f>
        <v>0</v>
      </c>
      <c r="J69" s="105">
        <f>ALL!BH72</f>
        <v>53500</v>
      </c>
      <c r="K69" s="103">
        <f>ALL!B71</f>
        <v>68</v>
      </c>
      <c r="L69" s="103" t="str">
        <f>ALL!C71</f>
        <v>Khotimatul Khusna, S.Pd.I</v>
      </c>
      <c r="M69" s="103">
        <f>C59</f>
        <v>3015118155</v>
      </c>
      <c r="N69" s="103">
        <f>ALL!BB71</f>
        <v>0</v>
      </c>
      <c r="O69" s="105">
        <f>ALL!BC71</f>
        <v>0</v>
      </c>
      <c r="P69" s="105">
        <f>ALL!BD71</f>
        <v>15000</v>
      </c>
      <c r="Q69" s="105">
        <f>ALL!BE71</f>
        <v>73527</v>
      </c>
      <c r="R69" s="103">
        <f>ALL!BF71</f>
        <v>200000</v>
      </c>
      <c r="S69" s="105">
        <f>ALL!BG71</f>
        <v>0</v>
      </c>
      <c r="T69" s="105">
        <f>ALL!BH71</f>
        <v>0</v>
      </c>
    </row>
    <row r="70" spans="1:20" x14ac:dyDescent="0.25">
      <c r="A70" s="103">
        <f>ALL!B73</f>
        <v>70</v>
      </c>
      <c r="B70" s="103" t="str">
        <f>ALL!C73</f>
        <v>Abdulloh Hafidh</v>
      </c>
      <c r="C70" s="141">
        <v>2015057346</v>
      </c>
      <c r="D70" s="103">
        <f>ALL!BB73</f>
        <v>0</v>
      </c>
      <c r="E70" s="105">
        <f>ALL!BC73</f>
        <v>0</v>
      </c>
      <c r="F70" s="103">
        <f>ALL!BD73</f>
        <v>0</v>
      </c>
      <c r="G70" s="105">
        <f>ALL!BE73</f>
        <v>0</v>
      </c>
      <c r="H70" s="103">
        <f>ALL!BF73</f>
        <v>0</v>
      </c>
      <c r="I70" s="105">
        <f>ALL!BG73</f>
        <v>0</v>
      </c>
      <c r="J70" s="105">
        <f>ALL!BH73</f>
        <v>400000</v>
      </c>
      <c r="K70" s="103">
        <f>ALL!B72</f>
        <v>69</v>
      </c>
      <c r="L70" s="103" t="str">
        <f>ALL!C72</f>
        <v>Zulfaa, S.Ag</v>
      </c>
      <c r="M70" s="103">
        <f>C69</f>
        <v>3015146060</v>
      </c>
      <c r="N70" s="103">
        <f>ALL!BB72</f>
        <v>0</v>
      </c>
      <c r="O70" s="105">
        <f>ALL!BC72</f>
        <v>0</v>
      </c>
      <c r="P70" s="105">
        <f>ALL!BD72</f>
        <v>15000</v>
      </c>
      <c r="Q70" s="105">
        <f>ALL!BE72</f>
        <v>0</v>
      </c>
      <c r="R70" s="103">
        <f>ALL!BF72</f>
        <v>100000</v>
      </c>
      <c r="S70" s="105">
        <f>ALL!BG72</f>
        <v>0</v>
      </c>
      <c r="T70" s="105">
        <f>ALL!BH72</f>
        <v>53500</v>
      </c>
    </row>
    <row r="71" spans="1:20" x14ac:dyDescent="0.25">
      <c r="A71" s="103">
        <f>ALL!B70</f>
        <v>67</v>
      </c>
      <c r="B71" s="103" t="str">
        <f>ALL!C70</f>
        <v>A. Syehmi Samchan</v>
      </c>
      <c r="C71" s="103">
        <v>3015159471</v>
      </c>
      <c r="D71" s="103">
        <f>ALL!BB70</f>
        <v>0</v>
      </c>
      <c r="E71" s="105">
        <f>ALL!BC70</f>
        <v>0</v>
      </c>
      <c r="F71" s="103">
        <f>ALL!BD70</f>
        <v>15000</v>
      </c>
      <c r="G71" s="105">
        <f>ALL!BE70</f>
        <v>0</v>
      </c>
      <c r="H71" s="103">
        <f>ALL!BF70</f>
        <v>100000</v>
      </c>
      <c r="I71" s="105">
        <f>ALL!BG70</f>
        <v>0</v>
      </c>
      <c r="J71" s="105">
        <f>ALL!BH70</f>
        <v>1804000</v>
      </c>
      <c r="K71" s="103">
        <f>ALL!B73</f>
        <v>70</v>
      </c>
      <c r="L71" s="103" t="str">
        <f>ALL!C73</f>
        <v>Abdulloh Hafidh</v>
      </c>
      <c r="M71" s="103">
        <f>C70</f>
        <v>2015057346</v>
      </c>
      <c r="N71" s="103">
        <f>ALL!BB73</f>
        <v>0</v>
      </c>
      <c r="O71" s="105">
        <f>ALL!BC73</f>
        <v>0</v>
      </c>
      <c r="P71" s="105">
        <f>ALL!BD73</f>
        <v>0</v>
      </c>
      <c r="Q71" s="105">
        <f>ALL!BE73</f>
        <v>0</v>
      </c>
      <c r="R71" s="103">
        <f>ALL!BF73</f>
        <v>0</v>
      </c>
      <c r="S71" s="105">
        <f>ALL!BG73</f>
        <v>0</v>
      </c>
      <c r="T71" s="105">
        <f>ALL!BH73</f>
        <v>400000</v>
      </c>
    </row>
    <row r="72" spans="1:20" x14ac:dyDescent="0.25">
      <c r="A72" s="103">
        <f>ALL!B75</f>
        <v>72</v>
      </c>
      <c r="B72" s="103" t="str">
        <f>ALL!C75</f>
        <v>Evana A'isatus Zahro, S.Pd</v>
      </c>
      <c r="C72" s="141">
        <v>3015134533</v>
      </c>
      <c r="D72" s="103">
        <f>ALL!BB75</f>
        <v>0</v>
      </c>
      <c r="E72" s="105">
        <f>ALL!BC75</f>
        <v>1317500</v>
      </c>
      <c r="F72" s="103">
        <f>ALL!BD75</f>
        <v>15000</v>
      </c>
      <c r="G72" s="105">
        <f>ALL!BE75</f>
        <v>141705</v>
      </c>
      <c r="H72" s="103">
        <f>ALL!BF75</f>
        <v>200000</v>
      </c>
      <c r="I72" s="105">
        <f>ALL!BG75</f>
        <v>0</v>
      </c>
      <c r="J72" s="105">
        <f>ALL!BH75</f>
        <v>1509595</v>
      </c>
      <c r="K72" s="103">
        <f>ALL!B74</f>
        <v>71</v>
      </c>
      <c r="L72" s="103" t="str">
        <f>ALL!C74</f>
        <v>Hilyatus Syarif Al Hafidloh</v>
      </c>
      <c r="M72" s="103">
        <f>C104</f>
        <v>2068066819</v>
      </c>
      <c r="N72" s="103">
        <f>ALL!BB74</f>
        <v>0</v>
      </c>
      <c r="O72" s="105">
        <f>ALL!BC74</f>
        <v>0</v>
      </c>
      <c r="P72" s="105">
        <f>ALL!BD74</f>
        <v>0</v>
      </c>
      <c r="Q72" s="105">
        <f>ALL!BE74</f>
        <v>0</v>
      </c>
      <c r="R72" s="103">
        <f>ALL!BF74</f>
        <v>0</v>
      </c>
      <c r="S72" s="105">
        <f>ALL!BG74</f>
        <v>0</v>
      </c>
      <c r="T72" s="105">
        <f>ALL!BH74</f>
        <v>0</v>
      </c>
    </row>
    <row r="73" spans="1:20" x14ac:dyDescent="0.25">
      <c r="A73" s="103">
        <f>ALL!B76</f>
        <v>73</v>
      </c>
      <c r="B73" s="103" t="str">
        <f>ALL!C76</f>
        <v>Isni Mafruchatun Nisa, S.Pd</v>
      </c>
      <c r="C73" s="141">
        <v>3015168799</v>
      </c>
      <c r="D73" s="103">
        <f>ALL!BB76</f>
        <v>0</v>
      </c>
      <c r="E73" s="105">
        <f>ALL!BC76</f>
        <v>1329000</v>
      </c>
      <c r="F73" s="103">
        <f>ALL!BD76</f>
        <v>15000</v>
      </c>
      <c r="G73" s="105">
        <f>ALL!BE76</f>
        <v>0</v>
      </c>
      <c r="H73" s="103">
        <f>ALL!BF76</f>
        <v>0</v>
      </c>
      <c r="I73" s="105">
        <f>ALL!BG76</f>
        <v>0</v>
      </c>
      <c r="J73" s="105">
        <f>ALL!BH76</f>
        <v>589600</v>
      </c>
      <c r="K73" s="103">
        <f>ALL!B75</f>
        <v>72</v>
      </c>
      <c r="L73" s="103" t="str">
        <f>ALL!C75</f>
        <v>Evana A'isatus Zahro, S.Pd</v>
      </c>
      <c r="M73" s="103">
        <f t="shared" ref="M73:M106" si="5">C72</f>
        <v>3015134533</v>
      </c>
      <c r="N73" s="103">
        <f>ALL!BB75</f>
        <v>0</v>
      </c>
      <c r="O73" s="105">
        <f>ALL!BC75</f>
        <v>1317500</v>
      </c>
      <c r="P73" s="105">
        <f>ALL!BD75</f>
        <v>15000</v>
      </c>
      <c r="Q73" s="105">
        <f>ALL!BE75</f>
        <v>141705</v>
      </c>
      <c r="R73" s="103">
        <f>ALL!BF75</f>
        <v>200000</v>
      </c>
      <c r="S73" s="105">
        <f>ALL!BG75</f>
        <v>0</v>
      </c>
      <c r="T73" s="105">
        <f>ALL!BH75</f>
        <v>1509595</v>
      </c>
    </row>
    <row r="74" spans="1:20" x14ac:dyDescent="0.25">
      <c r="A74" s="103">
        <f>ALL!B77</f>
        <v>74</v>
      </c>
      <c r="B74" s="103" t="str">
        <f>ALL!C77</f>
        <v>Ikhda Khoirotus Syifa, S.Pd</v>
      </c>
      <c r="C74" s="103">
        <v>2015167338</v>
      </c>
      <c r="D74" s="103">
        <f>ALL!BB77</f>
        <v>0</v>
      </c>
      <c r="E74" s="105">
        <f>ALL!BC77</f>
        <v>0</v>
      </c>
      <c r="F74" s="103">
        <f>ALL!BD77</f>
        <v>15000</v>
      </c>
      <c r="G74" s="105">
        <f>ALL!BE77</f>
        <v>24509</v>
      </c>
      <c r="H74" s="103">
        <f>ALL!BF77</f>
        <v>200000</v>
      </c>
      <c r="I74" s="105">
        <f>ALL!BG77</f>
        <v>0</v>
      </c>
      <c r="J74" s="105">
        <f>ALL!BH77</f>
        <v>2480491</v>
      </c>
      <c r="K74" s="103">
        <f>ALL!B76</f>
        <v>73</v>
      </c>
      <c r="L74" s="103" t="str">
        <f>ALL!C76</f>
        <v>Isni Mafruchatun Nisa, S.Pd</v>
      </c>
      <c r="M74" s="103">
        <f t="shared" si="5"/>
        <v>3015168799</v>
      </c>
      <c r="N74" s="103">
        <f>ALL!BB76</f>
        <v>0</v>
      </c>
      <c r="O74" s="105">
        <f>ALL!BC76</f>
        <v>1329000</v>
      </c>
      <c r="P74" s="105">
        <f>ALL!BD76</f>
        <v>15000</v>
      </c>
      <c r="Q74" s="105">
        <f>ALL!BE76</f>
        <v>0</v>
      </c>
      <c r="R74" s="103">
        <f>ALL!BF76</f>
        <v>0</v>
      </c>
      <c r="S74" s="105">
        <f>ALL!BG76</f>
        <v>0</v>
      </c>
      <c r="T74" s="105">
        <f>ALL!BH76</f>
        <v>589600</v>
      </c>
    </row>
    <row r="75" spans="1:20" x14ac:dyDescent="0.25">
      <c r="A75" s="103">
        <f>ALL!B78</f>
        <v>75</v>
      </c>
      <c r="B75" s="103" t="str">
        <f>ALL!C78</f>
        <v>Siti Mardliyah, M.Pd</v>
      </c>
      <c r="C75" s="141">
        <v>3015117965</v>
      </c>
      <c r="D75" s="103">
        <f>ALL!BB78</f>
        <v>0</v>
      </c>
      <c r="E75" s="105">
        <f>ALL!BC78</f>
        <v>0</v>
      </c>
      <c r="F75" s="103">
        <f>ALL!BD78</f>
        <v>15000</v>
      </c>
      <c r="G75" s="105">
        <f>ALL!BE78</f>
        <v>117196</v>
      </c>
      <c r="H75" s="103">
        <f>ALL!BF78</f>
        <v>0</v>
      </c>
      <c r="I75" s="105">
        <f>ALL!BG78</f>
        <v>0</v>
      </c>
      <c r="J75" s="105">
        <f>ALL!BH78</f>
        <v>3131004</v>
      </c>
      <c r="K75" s="103">
        <f>ALL!B77</f>
        <v>74</v>
      </c>
      <c r="L75" s="103" t="str">
        <f>ALL!C77</f>
        <v>Ikhda Khoirotus Syifa, S.Pd</v>
      </c>
      <c r="M75" s="103">
        <f t="shared" si="5"/>
        <v>2015167338</v>
      </c>
      <c r="N75" s="103">
        <f>ALL!BB77</f>
        <v>0</v>
      </c>
      <c r="O75" s="105">
        <f>ALL!BC77</f>
        <v>0</v>
      </c>
      <c r="P75" s="105">
        <f>ALL!BD77</f>
        <v>15000</v>
      </c>
      <c r="Q75" s="105">
        <f>ALL!BE77</f>
        <v>24509</v>
      </c>
      <c r="R75" s="103">
        <f>ALL!BF77</f>
        <v>200000</v>
      </c>
      <c r="S75" s="105">
        <f>ALL!BG77</f>
        <v>0</v>
      </c>
      <c r="T75" s="105">
        <f>ALL!BH77</f>
        <v>2480491</v>
      </c>
    </row>
    <row r="76" spans="1:20" x14ac:dyDescent="0.25">
      <c r="A76" s="103">
        <f>ALL!B79</f>
        <v>76</v>
      </c>
      <c r="B76" s="103" t="str">
        <f>ALL!C79</f>
        <v>Anggun Monika Lestari, S.Pd</v>
      </c>
      <c r="C76" s="141">
        <v>2119027210</v>
      </c>
      <c r="D76" s="103">
        <f>ALL!BB79</f>
        <v>100000</v>
      </c>
      <c r="E76" s="105">
        <f>ALL!BC79</f>
        <v>0</v>
      </c>
      <c r="F76" s="103">
        <f>ALL!BD79</f>
        <v>15000</v>
      </c>
      <c r="G76" s="105">
        <f>ALL!BE79</f>
        <v>0</v>
      </c>
      <c r="H76" s="103">
        <f>ALL!BF79</f>
        <v>100000</v>
      </c>
      <c r="I76" s="105">
        <f>ALL!BG79</f>
        <v>220000</v>
      </c>
      <c r="J76" s="105">
        <f>ALL!BH79</f>
        <v>2143500</v>
      </c>
      <c r="K76" s="103">
        <f>ALL!B78</f>
        <v>75</v>
      </c>
      <c r="L76" s="103" t="str">
        <f>ALL!C78</f>
        <v>Siti Mardliyah, M.Pd</v>
      </c>
      <c r="M76" s="103">
        <f t="shared" si="5"/>
        <v>3015117965</v>
      </c>
      <c r="N76" s="103">
        <f>ALL!BB78</f>
        <v>0</v>
      </c>
      <c r="O76" s="105">
        <f>ALL!BC78</f>
        <v>0</v>
      </c>
      <c r="P76" s="105">
        <f>ALL!BD78</f>
        <v>15000</v>
      </c>
      <c r="Q76" s="105">
        <f>ALL!BE78</f>
        <v>117196</v>
      </c>
      <c r="R76" s="103">
        <f>ALL!BF78</f>
        <v>0</v>
      </c>
      <c r="S76" s="105">
        <f>ALL!BG78</f>
        <v>0</v>
      </c>
      <c r="T76" s="105">
        <f>ALL!BH78</f>
        <v>3131004</v>
      </c>
    </row>
    <row r="77" spans="1:20" x14ac:dyDescent="0.25">
      <c r="A77" s="103">
        <f>ALL!B80</f>
        <v>77</v>
      </c>
      <c r="B77" s="103" t="str">
        <f>ALL!C80</f>
        <v>Muhammad Wahyu Wibowo, S.Pd</v>
      </c>
      <c r="C77" s="103">
        <v>2068061582</v>
      </c>
      <c r="D77" s="103">
        <f>ALL!BB80</f>
        <v>0</v>
      </c>
      <c r="E77" s="105">
        <f>ALL!BC80</f>
        <v>0</v>
      </c>
      <c r="F77" s="103">
        <f>ALL!BD80</f>
        <v>15000</v>
      </c>
      <c r="G77" s="105">
        <f>ALL!BE80</f>
        <v>24509</v>
      </c>
      <c r="H77" s="103">
        <f>ALL!BF80</f>
        <v>0</v>
      </c>
      <c r="I77" s="105">
        <f>ALL!BG80</f>
        <v>73527</v>
      </c>
      <c r="J77" s="105">
        <f>ALL!BH80</f>
        <v>2677964</v>
      </c>
      <c r="K77" s="103">
        <f>ALL!B79</f>
        <v>76</v>
      </c>
      <c r="L77" s="103" t="str">
        <f>ALL!C79</f>
        <v>Anggun Monika Lestari, S.Pd</v>
      </c>
      <c r="M77" s="103">
        <f t="shared" si="5"/>
        <v>2119027210</v>
      </c>
      <c r="N77" s="103">
        <f>ALL!BB79</f>
        <v>100000</v>
      </c>
      <c r="O77" s="105">
        <f>ALL!BC79</f>
        <v>0</v>
      </c>
      <c r="P77" s="105">
        <f>ALL!BD79</f>
        <v>15000</v>
      </c>
      <c r="Q77" s="105">
        <f>ALL!BE79</f>
        <v>0</v>
      </c>
      <c r="R77" s="103">
        <f>ALL!BF79</f>
        <v>100000</v>
      </c>
      <c r="S77" s="105">
        <f>ALL!BG79</f>
        <v>220000</v>
      </c>
      <c r="T77" s="105">
        <f>ALL!BH79</f>
        <v>2143500</v>
      </c>
    </row>
    <row r="78" spans="1:20" x14ac:dyDescent="0.25">
      <c r="A78" s="103">
        <f>ALL!B81</f>
        <v>78</v>
      </c>
      <c r="B78" s="103" t="str">
        <f>ALL!C81</f>
        <v>Fajriyatuz Zahroh, S.Pd</v>
      </c>
      <c r="C78" s="141">
        <v>2015141576</v>
      </c>
      <c r="D78" s="103">
        <f>ALL!BB81</f>
        <v>0</v>
      </c>
      <c r="E78" s="105">
        <f>ALL!BC81</f>
        <v>0</v>
      </c>
      <c r="F78" s="103">
        <f>ALL!BD81</f>
        <v>15000</v>
      </c>
      <c r="G78" s="105">
        <f>ALL!BE81</f>
        <v>49018</v>
      </c>
      <c r="H78" s="103">
        <f>ALL!BF81</f>
        <v>0</v>
      </c>
      <c r="I78" s="105">
        <f>ALL!BG81</f>
        <v>0</v>
      </c>
      <c r="J78" s="105">
        <f>ALL!BH81</f>
        <v>2790582</v>
      </c>
      <c r="K78" s="103">
        <f>ALL!B80</f>
        <v>77</v>
      </c>
      <c r="L78" s="103" t="str">
        <f>ALL!C80</f>
        <v>Muhammad Wahyu Wibowo, S.Pd</v>
      </c>
      <c r="M78" s="103">
        <f t="shared" si="5"/>
        <v>2068061582</v>
      </c>
      <c r="N78" s="103">
        <f>ALL!BB80</f>
        <v>0</v>
      </c>
      <c r="O78" s="105">
        <f>ALL!BC80</f>
        <v>0</v>
      </c>
      <c r="P78" s="105">
        <f>ALL!BD80</f>
        <v>15000</v>
      </c>
      <c r="Q78" s="105">
        <f>ALL!BE80</f>
        <v>24509</v>
      </c>
      <c r="R78" s="103">
        <f>ALL!BF80</f>
        <v>0</v>
      </c>
      <c r="S78" s="105">
        <f>ALL!BG80</f>
        <v>73527</v>
      </c>
      <c r="T78" s="105">
        <f>ALL!BH80</f>
        <v>2677964</v>
      </c>
    </row>
    <row r="79" spans="1:20" x14ac:dyDescent="0.25">
      <c r="A79" s="103">
        <f>ALL!B82</f>
        <v>79</v>
      </c>
      <c r="B79" s="103" t="str">
        <f>ALL!C82</f>
        <v>Ratna Prasetyowati, S.Pd</v>
      </c>
      <c r="C79" s="141">
        <v>3015168772</v>
      </c>
      <c r="D79" s="103">
        <f>ALL!BB82</f>
        <v>0</v>
      </c>
      <c r="E79" s="105">
        <f>ALL!BC82</f>
        <v>0</v>
      </c>
      <c r="F79" s="103">
        <f>ALL!BD82</f>
        <v>15000</v>
      </c>
      <c r="G79" s="105">
        <f>ALL!BE82</f>
        <v>24509</v>
      </c>
      <c r="H79" s="103">
        <f>ALL!BF82</f>
        <v>0</v>
      </c>
      <c r="I79" s="105">
        <f>ALL!BG82</f>
        <v>0</v>
      </c>
      <c r="J79" s="105">
        <f>ALL!BH82</f>
        <v>2425891</v>
      </c>
      <c r="K79" s="103">
        <f>ALL!B81</f>
        <v>78</v>
      </c>
      <c r="L79" s="103" t="str">
        <f>ALL!C81</f>
        <v>Fajriyatuz Zahroh, S.Pd</v>
      </c>
      <c r="M79" s="103">
        <f t="shared" si="5"/>
        <v>2015141576</v>
      </c>
      <c r="N79" s="103">
        <f>ALL!BB81</f>
        <v>0</v>
      </c>
      <c r="O79" s="105">
        <f>ALL!BC81</f>
        <v>0</v>
      </c>
      <c r="P79" s="105">
        <f>ALL!BD81</f>
        <v>15000</v>
      </c>
      <c r="Q79" s="105">
        <f>ALL!BE81</f>
        <v>49018</v>
      </c>
      <c r="R79" s="103">
        <f>ALL!BF81</f>
        <v>0</v>
      </c>
      <c r="S79" s="105">
        <f>ALL!BG81</f>
        <v>0</v>
      </c>
      <c r="T79" s="105">
        <f>ALL!BH81</f>
        <v>2790582</v>
      </c>
    </row>
    <row r="80" spans="1:20" x14ac:dyDescent="0.25">
      <c r="A80" s="103">
        <f>ALL!B83</f>
        <v>80</v>
      </c>
      <c r="B80" s="103" t="str">
        <f>ALL!C83</f>
        <v>Ani Nur Wasiah, M.Pd</v>
      </c>
      <c r="C80" s="103">
        <v>2015190089</v>
      </c>
      <c r="D80" s="103">
        <f>ALL!BB83</f>
        <v>0</v>
      </c>
      <c r="E80" s="105">
        <f>ALL!BC83</f>
        <v>0</v>
      </c>
      <c r="F80" s="103">
        <f>ALL!BD83</f>
        <v>15000</v>
      </c>
      <c r="G80" s="105">
        <f>ALL!BE83</f>
        <v>0</v>
      </c>
      <c r="H80" s="103">
        <f>ALL!BF83</f>
        <v>0</v>
      </c>
      <c r="I80" s="105">
        <f>ALL!BG83</f>
        <v>0</v>
      </c>
      <c r="J80" s="105">
        <f>ALL!BH83</f>
        <v>3111600</v>
      </c>
      <c r="K80" s="103">
        <f>ALL!B82</f>
        <v>79</v>
      </c>
      <c r="L80" s="103" t="str">
        <f>ALL!C82</f>
        <v>Ratna Prasetyowati, S.Pd</v>
      </c>
      <c r="M80" s="103">
        <f t="shared" si="5"/>
        <v>3015168772</v>
      </c>
      <c r="N80" s="103">
        <f>ALL!BB82</f>
        <v>0</v>
      </c>
      <c r="O80" s="105">
        <f>ALL!BC82</f>
        <v>0</v>
      </c>
      <c r="P80" s="105">
        <f>ALL!BD82</f>
        <v>15000</v>
      </c>
      <c r="Q80" s="105">
        <f>ALL!BE82</f>
        <v>24509</v>
      </c>
      <c r="R80" s="103">
        <f>ALL!BF82</f>
        <v>0</v>
      </c>
      <c r="S80" s="105">
        <f>ALL!BG82</f>
        <v>0</v>
      </c>
      <c r="T80" s="105">
        <f>ALL!BH82</f>
        <v>2425891</v>
      </c>
    </row>
    <row r="81" spans="1:20" x14ac:dyDescent="0.25">
      <c r="A81" s="103">
        <f>ALL!B84</f>
        <v>81</v>
      </c>
      <c r="B81" s="103" t="str">
        <f>ALL!C84</f>
        <v>Nurul Hidayatur Rohmah, S.Pd</v>
      </c>
      <c r="C81" s="103">
        <v>2015190119</v>
      </c>
      <c r="D81" s="103">
        <f>ALL!BB84</f>
        <v>0</v>
      </c>
      <c r="E81" s="105">
        <f>ALL!BC84</f>
        <v>0</v>
      </c>
      <c r="F81" s="103">
        <f>ALL!BD84</f>
        <v>15000</v>
      </c>
      <c r="G81" s="105">
        <f>ALL!BE84</f>
        <v>0</v>
      </c>
      <c r="H81" s="103">
        <f>ALL!BF84</f>
        <v>0</v>
      </c>
      <c r="I81" s="105">
        <f>ALL!BG84</f>
        <v>0</v>
      </c>
      <c r="J81" s="105">
        <f>ALL!BH84</f>
        <v>2965200</v>
      </c>
      <c r="K81" s="103">
        <f>ALL!B83</f>
        <v>80</v>
      </c>
      <c r="L81" s="103" t="str">
        <f>ALL!C83</f>
        <v>Ani Nur Wasiah, M.Pd</v>
      </c>
      <c r="M81" s="103">
        <f t="shared" si="5"/>
        <v>2015190089</v>
      </c>
      <c r="N81" s="103">
        <f>ALL!BB83</f>
        <v>0</v>
      </c>
      <c r="O81" s="105">
        <f>ALL!BC83</f>
        <v>0</v>
      </c>
      <c r="P81" s="105">
        <f>ALL!BD83</f>
        <v>15000</v>
      </c>
      <c r="Q81" s="105">
        <f>ALL!BE83</f>
        <v>0</v>
      </c>
      <c r="R81" s="103">
        <f>ALL!BF83</f>
        <v>0</v>
      </c>
      <c r="S81" s="105">
        <f>ALL!BG83</f>
        <v>0</v>
      </c>
      <c r="T81" s="105">
        <f>ALL!BH83</f>
        <v>3111600</v>
      </c>
    </row>
    <row r="82" spans="1:20" x14ac:dyDescent="0.25">
      <c r="A82" s="103">
        <f>ALL!B85</f>
        <v>82</v>
      </c>
      <c r="B82" s="103" t="str">
        <f>ALL!C85</f>
        <v>Fadzel Muhammad Rifandi, S.Pd</v>
      </c>
      <c r="C82" s="144">
        <v>2119064646</v>
      </c>
      <c r="D82" s="103">
        <f>ALL!BB85</f>
        <v>0</v>
      </c>
      <c r="E82" s="105">
        <f>ALL!BC85</f>
        <v>0</v>
      </c>
      <c r="F82" s="103">
        <f>ALL!BD85</f>
        <v>15000</v>
      </c>
      <c r="G82" s="105">
        <f>ALL!BE85</f>
        <v>0</v>
      </c>
      <c r="H82" s="103">
        <f>ALL!BF85</f>
        <v>0</v>
      </c>
      <c r="I82" s="105">
        <f>ALL!BG85</f>
        <v>0</v>
      </c>
      <c r="J82" s="105">
        <f>ALL!BH85</f>
        <v>2025600</v>
      </c>
      <c r="K82" s="103">
        <f>ALL!B84</f>
        <v>81</v>
      </c>
      <c r="L82" s="103" t="str">
        <f>ALL!C84</f>
        <v>Nurul Hidayatur Rohmah, S.Pd</v>
      </c>
      <c r="M82" s="103">
        <f t="shared" si="5"/>
        <v>2015190119</v>
      </c>
      <c r="N82" s="103">
        <f>ALL!BB84</f>
        <v>0</v>
      </c>
      <c r="O82" s="105">
        <f>ALL!BC84</f>
        <v>0</v>
      </c>
      <c r="P82" s="105">
        <f>ALL!BD84</f>
        <v>15000</v>
      </c>
      <c r="Q82" s="105">
        <f>ALL!BE84</f>
        <v>0</v>
      </c>
      <c r="R82" s="103">
        <f>ALL!BF84</f>
        <v>0</v>
      </c>
      <c r="S82" s="105">
        <f>ALL!BG84</f>
        <v>0</v>
      </c>
      <c r="T82" s="105">
        <f>ALL!BH84</f>
        <v>2965200</v>
      </c>
    </row>
    <row r="83" spans="1:20" x14ac:dyDescent="0.25">
      <c r="A83" s="103">
        <f>ALL!B86</f>
        <v>83</v>
      </c>
      <c r="B83" s="103" t="str">
        <f>ALL!C86</f>
        <v>Sekar Ayu Pamungkas</v>
      </c>
      <c r="C83" s="103">
        <v>3015281129</v>
      </c>
      <c r="D83" s="103">
        <f>ALL!BB86</f>
        <v>0</v>
      </c>
      <c r="E83" s="105">
        <f>ALL!BC86</f>
        <v>0</v>
      </c>
      <c r="F83" s="103">
        <f>ALL!BD86</f>
        <v>15000</v>
      </c>
      <c r="G83" s="105">
        <f>ALL!BE86</f>
        <v>0</v>
      </c>
      <c r="H83" s="103">
        <f>ALL!BF86</f>
        <v>0</v>
      </c>
      <c r="I83" s="105">
        <f>ALL!BG86</f>
        <v>0</v>
      </c>
      <c r="J83" s="105">
        <f>ALL!BH86</f>
        <v>2711000</v>
      </c>
      <c r="K83" s="103">
        <f>ALL!B85</f>
        <v>82</v>
      </c>
      <c r="L83" s="103" t="str">
        <f>ALL!C85</f>
        <v>Fadzel Muhammad Rifandi, S.Pd</v>
      </c>
      <c r="M83" s="103">
        <f t="shared" si="5"/>
        <v>2119064646</v>
      </c>
      <c r="N83" s="103">
        <f>ALL!BB85</f>
        <v>0</v>
      </c>
      <c r="O83" s="105">
        <f>ALL!BC85</f>
        <v>0</v>
      </c>
      <c r="P83" s="105">
        <f>ALL!BD85</f>
        <v>15000</v>
      </c>
      <c r="Q83" s="105">
        <f>ALL!BE85</f>
        <v>0</v>
      </c>
      <c r="R83" s="103">
        <f>ALL!BF85</f>
        <v>0</v>
      </c>
      <c r="S83" s="105">
        <f>ALL!BG85</f>
        <v>0</v>
      </c>
      <c r="T83" s="105">
        <f>ALL!BH85</f>
        <v>2025600</v>
      </c>
    </row>
    <row r="84" spans="1:20" x14ac:dyDescent="0.25">
      <c r="A84" s="103">
        <f>ALL!B87</f>
        <v>84</v>
      </c>
      <c r="B84" s="103" t="str">
        <f>ALL!C87</f>
        <v>Heni Ari Hidayah, S.Pd</v>
      </c>
      <c r="C84" s="141">
        <v>3015168756</v>
      </c>
      <c r="D84" s="103">
        <f>ALL!BB87</f>
        <v>100000</v>
      </c>
      <c r="E84" s="105">
        <f>ALL!BC87</f>
        <v>0</v>
      </c>
      <c r="F84" s="103">
        <f>ALL!BD87</f>
        <v>15000</v>
      </c>
      <c r="G84" s="105">
        <f>ALL!BE87</f>
        <v>0</v>
      </c>
      <c r="H84" s="103">
        <f>ALL!BF87</f>
        <v>0</v>
      </c>
      <c r="I84" s="105">
        <f>ALL!BG87</f>
        <v>0</v>
      </c>
      <c r="J84" s="105">
        <f>ALL!BH87</f>
        <v>2865400</v>
      </c>
      <c r="K84" s="103">
        <f>ALL!B86</f>
        <v>83</v>
      </c>
      <c r="L84" s="103" t="str">
        <f>ALL!C86</f>
        <v>Sekar Ayu Pamungkas</v>
      </c>
      <c r="M84" s="103">
        <f t="shared" si="5"/>
        <v>3015281129</v>
      </c>
      <c r="N84" s="103">
        <f>ALL!BB86</f>
        <v>0</v>
      </c>
      <c r="O84" s="105">
        <f>ALL!BC86</f>
        <v>0</v>
      </c>
      <c r="P84" s="105">
        <f>ALL!BD86</f>
        <v>15000</v>
      </c>
      <c r="Q84" s="105">
        <f>ALL!BE86</f>
        <v>0</v>
      </c>
      <c r="R84" s="103">
        <f>ALL!BF86</f>
        <v>0</v>
      </c>
      <c r="S84" s="105">
        <f>ALL!BG86</f>
        <v>0</v>
      </c>
      <c r="T84" s="105">
        <f>ALL!BH86</f>
        <v>2711000</v>
      </c>
    </row>
    <row r="85" spans="1:20" x14ac:dyDescent="0.25">
      <c r="A85" s="103">
        <f>ALL!B88</f>
        <v>85</v>
      </c>
      <c r="B85" s="103" t="str">
        <f>ALL!C88</f>
        <v>Muhammad Abdul Karim, S.Pd</v>
      </c>
      <c r="C85" s="141">
        <v>2093102081</v>
      </c>
      <c r="D85" s="103">
        <f>ALL!BB88</f>
        <v>0</v>
      </c>
      <c r="E85" s="105">
        <f>ALL!BC88</f>
        <v>0</v>
      </c>
      <c r="F85" s="103">
        <f>ALL!BD88</f>
        <v>15000</v>
      </c>
      <c r="G85" s="105">
        <f>ALL!BE88</f>
        <v>0</v>
      </c>
      <c r="H85" s="103">
        <f>ALL!BF88</f>
        <v>0</v>
      </c>
      <c r="I85" s="105">
        <f>ALL!BG88</f>
        <v>0</v>
      </c>
      <c r="J85" s="105">
        <f>ALL!BH88</f>
        <v>2301000</v>
      </c>
      <c r="K85" s="103">
        <f>ALL!B87</f>
        <v>84</v>
      </c>
      <c r="L85" s="103" t="str">
        <f>ALL!C87</f>
        <v>Heni Ari Hidayah, S.Pd</v>
      </c>
      <c r="M85" s="103">
        <f t="shared" si="5"/>
        <v>3015168756</v>
      </c>
      <c r="N85" s="103">
        <f>ALL!BB87</f>
        <v>100000</v>
      </c>
      <c r="O85" s="105">
        <f>ALL!BC87</f>
        <v>0</v>
      </c>
      <c r="P85" s="105">
        <f>ALL!BD87</f>
        <v>15000</v>
      </c>
      <c r="Q85" s="105">
        <f>ALL!BE87</f>
        <v>0</v>
      </c>
      <c r="R85" s="103">
        <f>ALL!BF87</f>
        <v>0</v>
      </c>
      <c r="S85" s="105">
        <f>ALL!BG87</f>
        <v>0</v>
      </c>
      <c r="T85" s="105">
        <f>ALL!BH87</f>
        <v>2865400</v>
      </c>
    </row>
    <row r="86" spans="1:20" x14ac:dyDescent="0.25">
      <c r="A86" s="103">
        <f>ALL!B89</f>
        <v>86</v>
      </c>
      <c r="B86" s="103" t="str">
        <f>ALL!C89</f>
        <v>Hananingtyas Hapsari</v>
      </c>
      <c r="C86" s="141">
        <v>3015118066</v>
      </c>
      <c r="D86" s="103">
        <f>ALL!BB89</f>
        <v>0</v>
      </c>
      <c r="E86" s="105">
        <f>ALL!BC89</f>
        <v>0</v>
      </c>
      <c r="F86" s="103">
        <f>ALL!BD89</f>
        <v>15000</v>
      </c>
      <c r="G86" s="105">
        <f>ALL!BE89</f>
        <v>117196</v>
      </c>
      <c r="H86" s="103">
        <f>ALL!BF89</f>
        <v>0</v>
      </c>
      <c r="I86" s="105">
        <f>ALL!BG89</f>
        <v>0</v>
      </c>
      <c r="J86" s="105">
        <f>ALL!BH89</f>
        <v>1977404</v>
      </c>
      <c r="K86" s="103">
        <f>ALL!B88</f>
        <v>85</v>
      </c>
      <c r="L86" s="103" t="str">
        <f>ALL!C88</f>
        <v>Muhammad Abdul Karim, S.Pd</v>
      </c>
      <c r="M86" s="103">
        <f t="shared" si="5"/>
        <v>2093102081</v>
      </c>
      <c r="N86" s="103">
        <f>ALL!BB88</f>
        <v>0</v>
      </c>
      <c r="O86" s="105">
        <f>ALL!BC88</f>
        <v>0</v>
      </c>
      <c r="P86" s="105">
        <f>ALL!BD88</f>
        <v>15000</v>
      </c>
      <c r="Q86" s="105">
        <f>ALL!BE88</f>
        <v>0</v>
      </c>
      <c r="R86" s="103">
        <f>ALL!BF88</f>
        <v>0</v>
      </c>
      <c r="S86" s="105">
        <f>ALL!BG88</f>
        <v>0</v>
      </c>
      <c r="T86" s="105">
        <f>ALL!BH88</f>
        <v>2301000</v>
      </c>
    </row>
    <row r="87" spans="1:20" x14ac:dyDescent="0.25">
      <c r="A87" s="103">
        <f>ALL!B90</f>
        <v>87</v>
      </c>
      <c r="B87" s="103" t="str">
        <f>ALL!C90</f>
        <v>Syafiun Nuha, S.Pd</v>
      </c>
      <c r="C87" s="103">
        <v>2015227756</v>
      </c>
      <c r="D87" s="103">
        <f>ALL!BB90</f>
        <v>0</v>
      </c>
      <c r="E87" s="105">
        <f>ALL!BC90</f>
        <v>0</v>
      </c>
      <c r="F87" s="103">
        <f>ALL!BD90</f>
        <v>15000</v>
      </c>
      <c r="G87" s="105">
        <f>ALL!BE90</f>
        <v>0</v>
      </c>
      <c r="H87" s="103">
        <f>ALL!BF90</f>
        <v>0</v>
      </c>
      <c r="I87" s="105">
        <f>ALL!BG90</f>
        <v>0</v>
      </c>
      <c r="J87" s="105">
        <f>ALL!BH90</f>
        <v>3001000</v>
      </c>
      <c r="K87" s="103">
        <f>ALL!B89</f>
        <v>86</v>
      </c>
      <c r="L87" s="103" t="str">
        <f>ALL!C89</f>
        <v>Hananingtyas Hapsari</v>
      </c>
      <c r="M87" s="103">
        <f t="shared" si="5"/>
        <v>3015118066</v>
      </c>
      <c r="N87" s="103">
        <f>ALL!BB89</f>
        <v>0</v>
      </c>
      <c r="O87" s="105">
        <f>ALL!BC89</f>
        <v>0</v>
      </c>
      <c r="P87" s="105">
        <f>ALL!BD89</f>
        <v>15000</v>
      </c>
      <c r="Q87" s="105">
        <f>ALL!BE89</f>
        <v>117196</v>
      </c>
      <c r="R87" s="103">
        <f>ALL!BF89</f>
        <v>0</v>
      </c>
      <c r="S87" s="105">
        <f>ALL!BG89</f>
        <v>0</v>
      </c>
      <c r="T87" s="105">
        <f>ALL!BH89</f>
        <v>1977404</v>
      </c>
    </row>
    <row r="88" spans="1:20" x14ac:dyDescent="0.25">
      <c r="A88" s="103">
        <f>ALL!B91</f>
        <v>88</v>
      </c>
      <c r="B88" s="103" t="str">
        <f>ALL!C91</f>
        <v>Muhammad Misbahuddin Arif, S.Kom</v>
      </c>
      <c r="C88" s="141">
        <v>3015169582</v>
      </c>
      <c r="D88" s="103">
        <f>ALL!BB91</f>
        <v>100000</v>
      </c>
      <c r="E88" s="105">
        <f>ALL!BC91</f>
        <v>0</v>
      </c>
      <c r="F88" s="103">
        <f>ALL!BD91</f>
        <v>15000</v>
      </c>
      <c r="G88" s="105">
        <f>ALL!BE91</f>
        <v>92687</v>
      </c>
      <c r="H88" s="103">
        <f>ALL!BF91</f>
        <v>0</v>
      </c>
      <c r="I88" s="105">
        <f>ALL!BG91</f>
        <v>0</v>
      </c>
      <c r="J88" s="105">
        <f>ALL!BH91</f>
        <v>2761913</v>
      </c>
      <c r="K88" s="103">
        <f>ALL!B90</f>
        <v>87</v>
      </c>
      <c r="L88" s="103" t="str">
        <f>ALL!C90</f>
        <v>Syafiun Nuha, S.Pd</v>
      </c>
      <c r="M88" s="103">
        <f t="shared" si="5"/>
        <v>2015227756</v>
      </c>
      <c r="N88" s="103">
        <f>ALL!BB90</f>
        <v>0</v>
      </c>
      <c r="O88" s="105">
        <f>ALL!BC90</f>
        <v>0</v>
      </c>
      <c r="P88" s="105">
        <f>ALL!BD90</f>
        <v>15000</v>
      </c>
      <c r="Q88" s="105">
        <f>ALL!BE90</f>
        <v>0</v>
      </c>
      <c r="R88" s="103">
        <f>ALL!BF90</f>
        <v>0</v>
      </c>
      <c r="S88" s="105">
        <f>ALL!BG90</f>
        <v>0</v>
      </c>
      <c r="T88" s="105">
        <f>ALL!BH90</f>
        <v>3001000</v>
      </c>
    </row>
    <row r="89" spans="1:20" x14ac:dyDescent="0.25">
      <c r="A89" s="103">
        <f>ALL!B92</f>
        <v>89</v>
      </c>
      <c r="B89" s="103" t="str">
        <f>ALL!C92</f>
        <v>Harisatul Hidayati, S.Pd.I</v>
      </c>
      <c r="C89" s="103">
        <v>3119056518</v>
      </c>
      <c r="D89" s="103">
        <f>ALL!BB92</f>
        <v>0</v>
      </c>
      <c r="E89" s="105">
        <f>ALL!BC92</f>
        <v>0</v>
      </c>
      <c r="F89" s="103">
        <f>ALL!BD92</f>
        <v>15000</v>
      </c>
      <c r="G89" s="105">
        <f>ALL!BE92</f>
        <v>0</v>
      </c>
      <c r="H89" s="103">
        <f>ALL!BF92</f>
        <v>0</v>
      </c>
      <c r="I89" s="105">
        <f>ALL!BG92</f>
        <v>0</v>
      </c>
      <c r="J89" s="105">
        <f>ALL!BH92</f>
        <v>12300</v>
      </c>
      <c r="K89" s="103">
        <f>ALL!B91</f>
        <v>88</v>
      </c>
      <c r="L89" s="103" t="str">
        <f>ALL!C91</f>
        <v>Muhammad Misbahuddin Arif, S.Kom</v>
      </c>
      <c r="M89" s="103">
        <f t="shared" si="5"/>
        <v>3015169582</v>
      </c>
      <c r="N89" s="103">
        <f>ALL!BB91</f>
        <v>100000</v>
      </c>
      <c r="O89" s="105">
        <f>ALL!BC91</f>
        <v>0</v>
      </c>
      <c r="P89" s="105">
        <f>ALL!BD91</f>
        <v>15000</v>
      </c>
      <c r="Q89" s="105">
        <f>ALL!BE91</f>
        <v>92687</v>
      </c>
      <c r="R89" s="103">
        <f>ALL!BF91</f>
        <v>0</v>
      </c>
      <c r="S89" s="105">
        <f>ALL!BG91</f>
        <v>0</v>
      </c>
      <c r="T89" s="105">
        <f>ALL!BH91</f>
        <v>2761913</v>
      </c>
    </row>
    <row r="90" spans="1:20" x14ac:dyDescent="0.25">
      <c r="A90" s="103">
        <f>ALL!B93</f>
        <v>90</v>
      </c>
      <c r="B90" s="103" t="str">
        <f>ALL!C93</f>
        <v>Nilna Maulidatul Wafa</v>
      </c>
      <c r="C90" s="103">
        <v>2068093522</v>
      </c>
      <c r="D90" s="103">
        <f>ALL!BB93</f>
        <v>0</v>
      </c>
      <c r="E90" s="105">
        <f>ALL!BC93</f>
        <v>0</v>
      </c>
      <c r="F90" s="103">
        <f>ALL!BD93</f>
        <v>0</v>
      </c>
      <c r="G90" s="105">
        <f>ALL!BE93</f>
        <v>0</v>
      </c>
      <c r="H90" s="103">
        <f>ALL!BF93</f>
        <v>0</v>
      </c>
      <c r="I90" s="105">
        <f>ALL!BG93</f>
        <v>0</v>
      </c>
      <c r="J90" s="105">
        <f>ALL!BH93</f>
        <v>0</v>
      </c>
      <c r="K90" s="103">
        <f>ALL!B92</f>
        <v>89</v>
      </c>
      <c r="L90" s="103" t="str">
        <f>ALL!C92</f>
        <v>Harisatul Hidayati, S.Pd.I</v>
      </c>
      <c r="M90" s="103">
        <f t="shared" si="5"/>
        <v>3119056518</v>
      </c>
      <c r="N90" s="103">
        <f>ALL!BB92</f>
        <v>0</v>
      </c>
      <c r="O90" s="105">
        <f>ALL!BC92</f>
        <v>0</v>
      </c>
      <c r="P90" s="105">
        <f>ALL!BD92</f>
        <v>15000</v>
      </c>
      <c r="Q90" s="105">
        <f>ALL!BE92</f>
        <v>0</v>
      </c>
      <c r="R90" s="103">
        <f>ALL!BF92</f>
        <v>0</v>
      </c>
      <c r="S90" s="105">
        <f>ALL!BG92</f>
        <v>0</v>
      </c>
      <c r="T90" s="105">
        <f>ALL!BH92</f>
        <v>12300</v>
      </c>
    </row>
    <row r="91" spans="1:20" x14ac:dyDescent="0.25">
      <c r="A91" s="103">
        <f>ALL!B94</f>
        <v>91</v>
      </c>
      <c r="B91" s="103" t="str">
        <f>ALL!C94</f>
        <v>Fitrotul Hidayah, S.Pd</v>
      </c>
      <c r="C91" s="103">
        <v>2015168385</v>
      </c>
      <c r="D91" s="103">
        <f>ALL!BB94</f>
        <v>0</v>
      </c>
      <c r="E91" s="105">
        <f>ALL!BC94</f>
        <v>0</v>
      </c>
      <c r="F91" s="103">
        <f>ALL!BD94</f>
        <v>0</v>
      </c>
      <c r="G91" s="105">
        <f>ALL!BE94</f>
        <v>0</v>
      </c>
      <c r="H91" s="103">
        <f>ALL!BF94</f>
        <v>0</v>
      </c>
      <c r="I91" s="105">
        <f>ALL!BG94</f>
        <v>0</v>
      </c>
      <c r="J91" s="105">
        <f>ALL!BH94</f>
        <v>0</v>
      </c>
      <c r="K91" s="103">
        <f>ALL!B93</f>
        <v>90</v>
      </c>
      <c r="L91" s="103" t="str">
        <f>ALL!C93</f>
        <v>Nilna Maulidatul Wafa</v>
      </c>
      <c r="M91" s="103">
        <f t="shared" si="5"/>
        <v>2068093522</v>
      </c>
      <c r="N91" s="103">
        <f>ALL!BB93</f>
        <v>0</v>
      </c>
      <c r="O91" s="105">
        <f>ALL!BC93</f>
        <v>0</v>
      </c>
      <c r="P91" s="105">
        <f>ALL!BD93</f>
        <v>0</v>
      </c>
      <c r="Q91" s="105">
        <f>ALL!BE93</f>
        <v>0</v>
      </c>
      <c r="R91" s="103">
        <f>ALL!BF93</f>
        <v>0</v>
      </c>
      <c r="S91" s="105">
        <f>ALL!BG93</f>
        <v>0</v>
      </c>
      <c r="T91" s="105">
        <f>ALL!BH93</f>
        <v>0</v>
      </c>
    </row>
    <row r="92" spans="1:20" x14ac:dyDescent="0.25">
      <c r="A92" s="103">
        <f>ALL!B95</f>
        <v>92</v>
      </c>
      <c r="B92" s="103" t="str">
        <f>ALL!C95</f>
        <v>Zavira Ayu Listiyani</v>
      </c>
      <c r="C92" s="141">
        <f>[4]BPD!$C$73</f>
        <v>3015169981</v>
      </c>
      <c r="D92" s="103">
        <f>ALL!BB95</f>
        <v>0</v>
      </c>
      <c r="E92" s="105">
        <f>ALL!BC95</f>
        <v>779000</v>
      </c>
      <c r="F92" s="103">
        <f>ALL!BD95</f>
        <v>15000</v>
      </c>
      <c r="G92" s="105">
        <f>ALL!BE95</f>
        <v>49018</v>
      </c>
      <c r="H92" s="103">
        <f>ALL!BF95</f>
        <v>0</v>
      </c>
      <c r="I92" s="105">
        <f>ALL!BG95</f>
        <v>0</v>
      </c>
      <c r="J92" s="105">
        <f>ALL!BH95</f>
        <v>909282</v>
      </c>
      <c r="K92" s="103">
        <f>ALL!B94</f>
        <v>91</v>
      </c>
      <c r="L92" s="103" t="str">
        <f>ALL!C94</f>
        <v>Fitrotul Hidayah, S.Pd</v>
      </c>
      <c r="M92" s="103">
        <f t="shared" si="5"/>
        <v>2015168385</v>
      </c>
      <c r="N92" s="103">
        <f>ALL!BB94</f>
        <v>0</v>
      </c>
      <c r="O92" s="105">
        <f>ALL!BC94</f>
        <v>0</v>
      </c>
      <c r="P92" s="105">
        <f>ALL!BD94</f>
        <v>0</v>
      </c>
      <c r="Q92" s="105">
        <f>ALL!BE94</f>
        <v>0</v>
      </c>
      <c r="R92" s="103">
        <f>ALL!BF94</f>
        <v>0</v>
      </c>
      <c r="S92" s="105">
        <f>ALL!BG94</f>
        <v>0</v>
      </c>
      <c r="T92" s="105">
        <f>ALL!BH94</f>
        <v>0</v>
      </c>
    </row>
    <row r="93" spans="1:20" x14ac:dyDescent="0.25">
      <c r="A93" s="103">
        <f>ALL!B96</f>
        <v>93</v>
      </c>
      <c r="B93" s="103" t="str">
        <f>ALL!C96</f>
        <v>Ahmad Ridwan</v>
      </c>
      <c r="C93" s="141">
        <v>2015144184</v>
      </c>
      <c r="D93" s="103">
        <f>ALL!BB96</f>
        <v>0</v>
      </c>
      <c r="E93" s="105">
        <f>ALL!BC96</f>
        <v>0</v>
      </c>
      <c r="F93" s="103">
        <f>ALL!BD96</f>
        <v>15000</v>
      </c>
      <c r="G93" s="105">
        <f>ALL!BE96</f>
        <v>0</v>
      </c>
      <c r="H93" s="103">
        <f>ALL!BF96</f>
        <v>0</v>
      </c>
      <c r="I93" s="105">
        <f>ALL!BG96</f>
        <v>0</v>
      </c>
      <c r="J93" s="105">
        <f>ALL!BH96</f>
        <v>1537300</v>
      </c>
      <c r="K93" s="103">
        <f>ALL!B95</f>
        <v>92</v>
      </c>
      <c r="L93" s="103" t="str">
        <f>ALL!C95</f>
        <v>Zavira Ayu Listiyani</v>
      </c>
      <c r="M93" s="103">
        <f t="shared" si="5"/>
        <v>3015169981</v>
      </c>
      <c r="N93" s="103">
        <f>ALL!BB95</f>
        <v>0</v>
      </c>
      <c r="O93" s="105">
        <f>ALL!BC95</f>
        <v>779000</v>
      </c>
      <c r="P93" s="105">
        <f>ALL!BD95</f>
        <v>15000</v>
      </c>
      <c r="Q93" s="105">
        <f>ALL!BE95</f>
        <v>49018</v>
      </c>
      <c r="R93" s="103">
        <f>ALL!BF95</f>
        <v>0</v>
      </c>
      <c r="S93" s="105">
        <f>ALL!BG95</f>
        <v>0</v>
      </c>
      <c r="T93" s="105">
        <f>ALL!BH95</f>
        <v>909282</v>
      </c>
    </row>
    <row r="94" spans="1:20" x14ac:dyDescent="0.25">
      <c r="A94" s="103">
        <f>ALL!B97</f>
        <v>94</v>
      </c>
      <c r="B94" s="103" t="str">
        <f>ALL!C97</f>
        <v>Bahrul Ulum, S.Kom</v>
      </c>
      <c r="C94" s="103">
        <v>2015190259</v>
      </c>
      <c r="D94" s="103">
        <f>ALL!BB97</f>
        <v>0</v>
      </c>
      <c r="E94" s="105">
        <f>ALL!BC97</f>
        <v>0</v>
      </c>
      <c r="F94" s="103">
        <f>ALL!BD97</f>
        <v>15000</v>
      </c>
      <c r="G94" s="105">
        <f>ALL!BE97</f>
        <v>0</v>
      </c>
      <c r="H94" s="103">
        <f>ALL!BF97</f>
        <v>0</v>
      </c>
      <c r="I94" s="105">
        <f>ALL!BG97</f>
        <v>0</v>
      </c>
      <c r="J94" s="105">
        <f>ALL!BH97</f>
        <v>2039600</v>
      </c>
      <c r="K94" s="103">
        <f>ALL!B96</f>
        <v>93</v>
      </c>
      <c r="L94" s="103" t="str">
        <f>ALL!C96</f>
        <v>Ahmad Ridwan</v>
      </c>
      <c r="M94" s="103">
        <f t="shared" si="5"/>
        <v>2015144184</v>
      </c>
      <c r="N94" s="103">
        <f>ALL!BB96</f>
        <v>0</v>
      </c>
      <c r="O94" s="105">
        <f>ALL!BC96</f>
        <v>0</v>
      </c>
      <c r="P94" s="105">
        <f>ALL!BD96</f>
        <v>15000</v>
      </c>
      <c r="Q94" s="105">
        <f>ALL!BE96</f>
        <v>0</v>
      </c>
      <c r="R94" s="103">
        <f>ALL!BF96</f>
        <v>0</v>
      </c>
      <c r="S94" s="105">
        <f>ALL!BG96</f>
        <v>0</v>
      </c>
      <c r="T94" s="105">
        <f>ALL!BH96</f>
        <v>1537300</v>
      </c>
    </row>
    <row r="95" spans="1:20" x14ac:dyDescent="0.25">
      <c r="A95" s="103">
        <f>ALL!B98</f>
        <v>95</v>
      </c>
      <c r="B95" s="103" t="str">
        <f>ALL!C98</f>
        <v>Muhammad Khotim</v>
      </c>
      <c r="C95" s="103">
        <v>2119067149</v>
      </c>
      <c r="D95" s="103">
        <f>ALL!BB98</f>
        <v>0</v>
      </c>
      <c r="E95" s="105">
        <f>ALL!BC98</f>
        <v>0</v>
      </c>
      <c r="F95" s="103">
        <f>ALL!BD98</f>
        <v>15000</v>
      </c>
      <c r="G95" s="105">
        <f>ALL!BE98</f>
        <v>0</v>
      </c>
      <c r="H95" s="103">
        <f>ALL!BF98</f>
        <v>0</v>
      </c>
      <c r="I95" s="105">
        <f>ALL!BG98</f>
        <v>0</v>
      </c>
      <c r="J95" s="105">
        <f>ALL!BH98</f>
        <v>1625600</v>
      </c>
      <c r="K95" s="103">
        <f>ALL!B97</f>
        <v>94</v>
      </c>
      <c r="L95" s="103" t="str">
        <f>ALL!C97</f>
        <v>Bahrul Ulum, S.Kom</v>
      </c>
      <c r="M95" s="103">
        <f t="shared" si="5"/>
        <v>2015190259</v>
      </c>
      <c r="N95" s="103">
        <f>ALL!BB97</f>
        <v>0</v>
      </c>
      <c r="O95" s="105">
        <f>ALL!BC97</f>
        <v>0</v>
      </c>
      <c r="P95" s="105">
        <f>ALL!BD97</f>
        <v>15000</v>
      </c>
      <c r="Q95" s="105">
        <f>ALL!BE97</f>
        <v>0</v>
      </c>
      <c r="R95" s="103">
        <f>ALL!BF97</f>
        <v>0</v>
      </c>
      <c r="S95" s="105">
        <f>ALL!BG97</f>
        <v>0</v>
      </c>
      <c r="T95" s="105">
        <f>ALL!BH97</f>
        <v>2039600</v>
      </c>
    </row>
    <row r="96" spans="1:20" x14ac:dyDescent="0.25">
      <c r="A96" s="103">
        <f>ALL!B99</f>
        <v>96</v>
      </c>
      <c r="B96" s="103" t="str">
        <f>ALL!C99</f>
        <v>Siswanto</v>
      </c>
      <c r="C96" s="103">
        <v>3015286392</v>
      </c>
      <c r="D96" s="103">
        <f>ALL!BB99</f>
        <v>0</v>
      </c>
      <c r="E96" s="105">
        <f>ALL!BC99</f>
        <v>0</v>
      </c>
      <c r="F96" s="103">
        <f>ALL!BD99</f>
        <v>15000</v>
      </c>
      <c r="G96" s="105">
        <f>ALL!BE99</f>
        <v>0</v>
      </c>
      <c r="H96" s="103">
        <f>ALL!BF99</f>
        <v>0</v>
      </c>
      <c r="I96" s="105">
        <f>ALL!BG99</f>
        <v>0</v>
      </c>
      <c r="J96" s="105">
        <f>ALL!BH99</f>
        <v>1347000</v>
      </c>
      <c r="K96" s="103">
        <f>ALL!B98</f>
        <v>95</v>
      </c>
      <c r="L96" s="103" t="str">
        <f>ALL!C98</f>
        <v>Muhammad Khotim</v>
      </c>
      <c r="M96" s="103">
        <f t="shared" si="5"/>
        <v>2119067149</v>
      </c>
      <c r="N96" s="103">
        <f>ALL!BB98</f>
        <v>0</v>
      </c>
      <c r="O96" s="105">
        <f>ALL!BC98</f>
        <v>0</v>
      </c>
      <c r="P96" s="105">
        <f>ALL!BD98</f>
        <v>15000</v>
      </c>
      <c r="Q96" s="105">
        <f>ALL!BE98</f>
        <v>0</v>
      </c>
      <c r="R96" s="103">
        <f>ALL!BF98</f>
        <v>0</v>
      </c>
      <c r="S96" s="105">
        <f>ALL!BG98</f>
        <v>0</v>
      </c>
      <c r="T96" s="105">
        <f>ALL!BH98</f>
        <v>1625600</v>
      </c>
    </row>
    <row r="97" spans="1:20" x14ac:dyDescent="0.25">
      <c r="A97" s="103">
        <f>ALL!B100</f>
        <v>97</v>
      </c>
      <c r="B97" s="103" t="str">
        <f>ALL!C100</f>
        <v>Laila nur Annisa Agustina</v>
      </c>
      <c r="C97" s="103">
        <v>3015286384</v>
      </c>
      <c r="D97" s="103">
        <f>ALL!BB100</f>
        <v>0</v>
      </c>
      <c r="E97" s="105">
        <f>ALL!BC100</f>
        <v>0</v>
      </c>
      <c r="F97" s="103">
        <f>ALL!BD100</f>
        <v>15000</v>
      </c>
      <c r="G97" s="105">
        <f>ALL!BE100</f>
        <v>0</v>
      </c>
      <c r="H97" s="103">
        <f>ALL!BF100</f>
        <v>0</v>
      </c>
      <c r="I97" s="105">
        <f>ALL!BG100</f>
        <v>0</v>
      </c>
      <c r="J97" s="105">
        <f>ALL!BH100</f>
        <v>1229600</v>
      </c>
      <c r="K97" s="103">
        <f>ALL!B99</f>
        <v>96</v>
      </c>
      <c r="L97" s="103" t="str">
        <f>ALL!C99</f>
        <v>Siswanto</v>
      </c>
      <c r="M97" s="103">
        <f t="shared" si="5"/>
        <v>3015286392</v>
      </c>
      <c r="N97" s="103">
        <f>ALL!BB99</f>
        <v>0</v>
      </c>
      <c r="O97" s="105">
        <f>ALL!BC99</f>
        <v>0</v>
      </c>
      <c r="P97" s="105">
        <f>ALL!BD99</f>
        <v>15000</v>
      </c>
      <c r="Q97" s="105">
        <f>ALL!BE99</f>
        <v>0</v>
      </c>
      <c r="R97" s="103">
        <f>ALL!BF99</f>
        <v>0</v>
      </c>
      <c r="S97" s="105">
        <f>ALL!BG99</f>
        <v>0</v>
      </c>
      <c r="T97" s="105">
        <f>ALL!BH99</f>
        <v>1347000</v>
      </c>
    </row>
    <row r="98" spans="1:20" x14ac:dyDescent="0.25">
      <c r="A98" s="103">
        <f>ALL!B101</f>
        <v>98</v>
      </c>
      <c r="B98" s="103" t="str">
        <f>ALL!C101</f>
        <v>Ust. Muh. Sabiq Baqiyyatullah Al Hafidl</v>
      </c>
      <c r="C98" s="144">
        <f>[2]BPD!$C$78</f>
        <v>2015144320</v>
      </c>
      <c r="D98" s="103">
        <f>ALL!BB101</f>
        <v>0</v>
      </c>
      <c r="E98" s="105">
        <f>ALL!BC101</f>
        <v>0</v>
      </c>
      <c r="F98" s="103">
        <f>ALL!BD101</f>
        <v>15000</v>
      </c>
      <c r="G98" s="105">
        <f>ALL!BE101</f>
        <v>24509</v>
      </c>
      <c r="H98" s="103">
        <f>ALL!BF101</f>
        <v>0</v>
      </c>
      <c r="I98" s="105">
        <f>ALL!BG101</f>
        <v>0</v>
      </c>
      <c r="J98" s="105">
        <f>ALL!BH101</f>
        <v>2428691</v>
      </c>
      <c r="K98" s="103">
        <f>ALL!B100</f>
        <v>97</v>
      </c>
      <c r="L98" s="103" t="str">
        <f>ALL!C100</f>
        <v>Laila nur Annisa Agustina</v>
      </c>
      <c r="M98" s="103">
        <f t="shared" si="5"/>
        <v>3015286384</v>
      </c>
      <c r="N98" s="103">
        <f>ALL!BB100</f>
        <v>0</v>
      </c>
      <c r="O98" s="105">
        <f>ALL!BC100</f>
        <v>0</v>
      </c>
      <c r="P98" s="105">
        <f>ALL!BD100</f>
        <v>15000</v>
      </c>
      <c r="Q98" s="105">
        <f>ALL!BE100</f>
        <v>0</v>
      </c>
      <c r="R98" s="103">
        <f>ALL!BF100</f>
        <v>0</v>
      </c>
      <c r="S98" s="105">
        <f>ALL!BG100</f>
        <v>0</v>
      </c>
      <c r="T98" s="105">
        <f>ALL!BH100</f>
        <v>1229600</v>
      </c>
    </row>
    <row r="99" spans="1:20" x14ac:dyDescent="0.25">
      <c r="A99" s="103">
        <f>ALL!B102</f>
        <v>99</v>
      </c>
      <c r="B99" s="103" t="str">
        <f>ALL!C102</f>
        <v>Ust. Ulil Absor, S.Pd.I</v>
      </c>
      <c r="C99" s="103">
        <v>2015168865</v>
      </c>
      <c r="D99" s="103">
        <f>ALL!BB102</f>
        <v>0</v>
      </c>
      <c r="E99" s="105">
        <f>ALL!BC102</f>
        <v>0</v>
      </c>
      <c r="F99" s="103">
        <f>ALL!BD102</f>
        <v>15000</v>
      </c>
      <c r="G99" s="105">
        <f>ALL!BE102</f>
        <v>68178</v>
      </c>
      <c r="H99" s="103">
        <f>ALL!BF102</f>
        <v>400000</v>
      </c>
      <c r="I99" s="105">
        <f>ALL!BG102</f>
        <v>220000</v>
      </c>
      <c r="J99" s="105">
        <f>ALL!BH102</f>
        <v>1658222</v>
      </c>
      <c r="K99" s="103">
        <f>ALL!B101</f>
        <v>98</v>
      </c>
      <c r="L99" s="103" t="str">
        <f>ALL!C101</f>
        <v>Ust. Muh. Sabiq Baqiyyatullah Al Hafidl</v>
      </c>
      <c r="M99" s="103">
        <f t="shared" si="5"/>
        <v>2015144320</v>
      </c>
      <c r="N99" s="103">
        <f>ALL!BB101</f>
        <v>0</v>
      </c>
      <c r="O99" s="105">
        <f>ALL!BC101</f>
        <v>0</v>
      </c>
      <c r="P99" s="105">
        <f>ALL!BD101</f>
        <v>15000</v>
      </c>
      <c r="Q99" s="105">
        <f>ALL!BE101</f>
        <v>24509</v>
      </c>
      <c r="R99" s="103">
        <f>ALL!BF101</f>
        <v>0</v>
      </c>
      <c r="S99" s="105">
        <f>ALL!BG101</f>
        <v>0</v>
      </c>
      <c r="T99" s="105">
        <f>ALL!BH101</f>
        <v>2428691</v>
      </c>
    </row>
    <row r="100" spans="1:20" x14ac:dyDescent="0.25">
      <c r="A100" s="103">
        <f>ALL!B103</f>
        <v>100</v>
      </c>
      <c r="B100" s="103" t="str">
        <f>ALL!C103</f>
        <v>Ust. Syukron Ali, S.Hum</v>
      </c>
      <c r="C100" s="103">
        <v>2015178658</v>
      </c>
      <c r="D100" s="103">
        <f>ALL!BB103</f>
        <v>0</v>
      </c>
      <c r="E100" s="105">
        <f>ALL!BC103</f>
        <v>790500</v>
      </c>
      <c r="F100" s="103">
        <f>ALL!BD103</f>
        <v>15000</v>
      </c>
      <c r="G100" s="105">
        <f>ALL!BE103</f>
        <v>68178</v>
      </c>
      <c r="H100" s="103">
        <f>ALL!BF103</f>
        <v>0</v>
      </c>
      <c r="I100" s="105">
        <f>ALL!BG103</f>
        <v>0</v>
      </c>
      <c r="J100" s="105">
        <f>ALL!BH103</f>
        <v>1789522</v>
      </c>
      <c r="K100" s="103">
        <f>ALL!B102</f>
        <v>99</v>
      </c>
      <c r="L100" s="103" t="str">
        <f>ALL!C102</f>
        <v>Ust. Ulil Absor, S.Pd.I</v>
      </c>
      <c r="M100" s="103">
        <f t="shared" si="5"/>
        <v>2015168865</v>
      </c>
      <c r="N100" s="103">
        <f>ALL!BB102</f>
        <v>0</v>
      </c>
      <c r="O100" s="105">
        <f>ALL!BC102</f>
        <v>0</v>
      </c>
      <c r="P100" s="105">
        <f>ALL!BD102</f>
        <v>15000</v>
      </c>
      <c r="Q100" s="105">
        <f>ALL!BE102</f>
        <v>68178</v>
      </c>
      <c r="R100" s="103">
        <f>ALL!BF102</f>
        <v>400000</v>
      </c>
      <c r="S100" s="105">
        <f>ALL!BG102</f>
        <v>220000</v>
      </c>
      <c r="T100" s="105">
        <f>ALL!BH102</f>
        <v>1658222</v>
      </c>
    </row>
    <row r="101" spans="1:20" x14ac:dyDescent="0.25">
      <c r="A101" s="103">
        <f>ALL!B104</f>
        <v>101</v>
      </c>
      <c r="B101" s="103" t="str">
        <f>ALL!C104</f>
        <v>Ustdz. Siti Ruqoyah, S.Pd</v>
      </c>
      <c r="C101" s="103">
        <v>3015209568</v>
      </c>
      <c r="D101" s="103">
        <f>ALL!BB104</f>
        <v>0</v>
      </c>
      <c r="E101" s="105">
        <f>ALL!BC104</f>
        <v>0</v>
      </c>
      <c r="F101" s="103">
        <f>ALL!BD104</f>
        <v>15000</v>
      </c>
      <c r="G101" s="105">
        <f>ALL!BE104</f>
        <v>0</v>
      </c>
      <c r="H101" s="103">
        <f>ALL!BF104</f>
        <v>200000</v>
      </c>
      <c r="I101" s="105">
        <f>ALL!BG104</f>
        <v>0</v>
      </c>
      <c r="J101" s="105">
        <f>ALL!BH104</f>
        <v>1878900</v>
      </c>
      <c r="K101" s="103">
        <f>ALL!B103</f>
        <v>100</v>
      </c>
      <c r="L101" s="103" t="str">
        <f>ALL!C103</f>
        <v>Ust. Syukron Ali, S.Hum</v>
      </c>
      <c r="M101" s="103">
        <f t="shared" si="5"/>
        <v>2015178658</v>
      </c>
      <c r="N101" s="103">
        <f>ALL!BB103</f>
        <v>0</v>
      </c>
      <c r="O101" s="105">
        <f>ALL!BC103</f>
        <v>790500</v>
      </c>
      <c r="P101" s="105">
        <f>ALL!BD103</f>
        <v>15000</v>
      </c>
      <c r="Q101" s="105">
        <f>ALL!BE103</f>
        <v>68178</v>
      </c>
      <c r="R101" s="103">
        <f>ALL!BF103</f>
        <v>0</v>
      </c>
      <c r="S101" s="105">
        <f>ALL!BG103</f>
        <v>0</v>
      </c>
      <c r="T101" s="105">
        <f>ALL!BH103</f>
        <v>1789522</v>
      </c>
    </row>
    <row r="102" spans="1:20" x14ac:dyDescent="0.25">
      <c r="A102" s="103">
        <f>ALL!B105</f>
        <v>102</v>
      </c>
      <c r="B102" s="103" t="str">
        <f>ALL!C105</f>
        <v>Ust. Muhammad Syafi'ul Anam Al Hafidh</v>
      </c>
      <c r="C102" s="142">
        <v>2015210241</v>
      </c>
      <c r="D102" s="103">
        <f>ALL!BB105</f>
        <v>0</v>
      </c>
      <c r="E102" s="105">
        <f>ALL!BC105</f>
        <v>0</v>
      </c>
      <c r="F102" s="103">
        <f>ALL!BD105</f>
        <v>15000</v>
      </c>
      <c r="G102" s="105">
        <f>ALL!BE105</f>
        <v>0</v>
      </c>
      <c r="H102" s="103">
        <f>ALL!BF105</f>
        <v>0</v>
      </c>
      <c r="I102" s="105">
        <f>ALL!BG105</f>
        <v>0</v>
      </c>
      <c r="J102" s="105">
        <f>ALL!BH105</f>
        <v>2101000</v>
      </c>
      <c r="K102" s="103">
        <f>ALL!B104</f>
        <v>101</v>
      </c>
      <c r="L102" s="103" t="str">
        <f>ALL!C104</f>
        <v>Ustdz. Siti Ruqoyah, S.Pd</v>
      </c>
      <c r="M102" s="103">
        <f t="shared" si="5"/>
        <v>3015209568</v>
      </c>
      <c r="N102" s="103">
        <f>ALL!BB104</f>
        <v>0</v>
      </c>
      <c r="O102" s="105">
        <f>ALL!BC104</f>
        <v>0</v>
      </c>
      <c r="P102" s="105">
        <f>ALL!BD104</f>
        <v>15000</v>
      </c>
      <c r="Q102" s="105">
        <f>ALL!BE104</f>
        <v>0</v>
      </c>
      <c r="R102" s="103">
        <f>ALL!BF104</f>
        <v>200000</v>
      </c>
      <c r="S102" s="105">
        <f>ALL!BG104</f>
        <v>0</v>
      </c>
      <c r="T102" s="105">
        <f>ALL!BH104</f>
        <v>1878900</v>
      </c>
    </row>
    <row r="103" spans="1:20" x14ac:dyDescent="0.25">
      <c r="A103" s="103">
        <f>ALL!B106</f>
        <v>103</v>
      </c>
      <c r="B103" s="103" t="str">
        <f>ALL!C106</f>
        <v>Ust. Firmansyah Maulana, SE</v>
      </c>
      <c r="C103" s="103">
        <v>2093091828</v>
      </c>
      <c r="D103" s="103">
        <f>ALL!BB106</f>
        <v>0</v>
      </c>
      <c r="E103" s="105">
        <f>ALL!BC106</f>
        <v>0</v>
      </c>
      <c r="F103" s="103">
        <f>ALL!BD106</f>
        <v>15000</v>
      </c>
      <c r="G103" s="105">
        <f>ALL!BE106</f>
        <v>0</v>
      </c>
      <c r="H103" s="103">
        <f>ALL!BF106</f>
        <v>0</v>
      </c>
      <c r="I103" s="105">
        <f>ALL!BG106</f>
        <v>0</v>
      </c>
      <c r="J103" s="105">
        <f>ALL!BH106</f>
        <v>2339200</v>
      </c>
      <c r="K103" s="103">
        <f>ALL!B105</f>
        <v>102</v>
      </c>
      <c r="L103" s="103" t="str">
        <f>ALL!C105</f>
        <v>Ust. Muhammad Syafi'ul Anam Al Hafidh</v>
      </c>
      <c r="M103" s="103">
        <f t="shared" si="5"/>
        <v>2015210241</v>
      </c>
      <c r="N103" s="103">
        <f>ALL!BB105</f>
        <v>0</v>
      </c>
      <c r="O103" s="105">
        <f>ALL!BC105</f>
        <v>0</v>
      </c>
      <c r="P103" s="105">
        <f>ALL!BD105</f>
        <v>15000</v>
      </c>
      <c r="Q103" s="105">
        <f>ALL!BE105</f>
        <v>0</v>
      </c>
      <c r="R103" s="103">
        <f>ALL!BF105</f>
        <v>0</v>
      </c>
      <c r="S103" s="105">
        <f>ALL!BG105</f>
        <v>0</v>
      </c>
      <c r="T103" s="105">
        <f>ALL!BH105</f>
        <v>2101000</v>
      </c>
    </row>
    <row r="104" spans="1:20" x14ac:dyDescent="0.25">
      <c r="A104" s="103">
        <f>ALL!B107</f>
        <v>104</v>
      </c>
      <c r="B104" s="103" t="str">
        <f>ALL!C107</f>
        <v>Ustdz. Hilyatus Syarif Al Hafidloh</v>
      </c>
      <c r="C104" s="103">
        <v>2068066819</v>
      </c>
      <c r="D104" s="103">
        <f>ALL!BB107</f>
        <v>0</v>
      </c>
      <c r="E104" s="105">
        <f>ALL!BC107</f>
        <v>0</v>
      </c>
      <c r="F104" s="103">
        <f>ALL!BD107</f>
        <v>15000</v>
      </c>
      <c r="G104" s="105">
        <f>ALL!BE107</f>
        <v>0</v>
      </c>
      <c r="H104" s="103">
        <f>ALL!BF107</f>
        <v>0</v>
      </c>
      <c r="I104" s="105">
        <f>ALL!BG107</f>
        <v>0</v>
      </c>
      <c r="J104" s="105">
        <f>ALL!BH107</f>
        <v>2139500</v>
      </c>
      <c r="K104" s="103">
        <f>ALL!B106</f>
        <v>103</v>
      </c>
      <c r="L104" s="103" t="str">
        <f>ALL!C106</f>
        <v>Ust. Firmansyah Maulana, SE</v>
      </c>
      <c r="M104" s="103">
        <f t="shared" si="5"/>
        <v>2093091828</v>
      </c>
      <c r="N104" s="103">
        <f>ALL!BB106</f>
        <v>0</v>
      </c>
      <c r="O104" s="105">
        <f>ALL!BC106</f>
        <v>0</v>
      </c>
      <c r="P104" s="105">
        <f>ALL!BD106</f>
        <v>15000</v>
      </c>
      <c r="Q104" s="105">
        <f>ALL!BE106</f>
        <v>0</v>
      </c>
      <c r="R104" s="103">
        <f>ALL!BF106</f>
        <v>0</v>
      </c>
      <c r="S104" s="105">
        <f>ALL!BG106</f>
        <v>0</v>
      </c>
      <c r="T104" s="105">
        <f>ALL!BH106</f>
        <v>2339200</v>
      </c>
    </row>
    <row r="105" spans="1:20" x14ac:dyDescent="0.25">
      <c r="A105" s="103">
        <f>ALL!B108</f>
        <v>105</v>
      </c>
      <c r="B105" s="103" t="str">
        <f>ALL!C108</f>
        <v>Ustdz. Nailul Muna</v>
      </c>
      <c r="C105" s="142">
        <v>3119078589</v>
      </c>
      <c r="D105" s="103">
        <f>ALL!BB108</f>
        <v>0</v>
      </c>
      <c r="E105" s="105">
        <f>ALL!BC108</f>
        <v>0</v>
      </c>
      <c r="F105" s="103">
        <f>ALL!BD108</f>
        <v>15000</v>
      </c>
      <c r="G105" s="105">
        <f>ALL!BE108</f>
        <v>0</v>
      </c>
      <c r="H105" s="103">
        <f>ALL!BF108</f>
        <v>0</v>
      </c>
      <c r="I105" s="105">
        <f>ALL!BG108</f>
        <v>0</v>
      </c>
      <c r="J105" s="105">
        <f>ALL!BH108</f>
        <v>2015200</v>
      </c>
      <c r="K105" s="103">
        <f>ALL!B107</f>
        <v>104</v>
      </c>
      <c r="L105" s="103" t="str">
        <f>ALL!C107</f>
        <v>Ustdz. Hilyatus Syarif Al Hafidloh</v>
      </c>
      <c r="M105" s="103">
        <f t="shared" si="5"/>
        <v>2068066819</v>
      </c>
      <c r="N105" s="103">
        <f>ALL!BB107</f>
        <v>0</v>
      </c>
      <c r="O105" s="105">
        <f>ALL!BC107</f>
        <v>0</v>
      </c>
      <c r="P105" s="105">
        <f>ALL!BD107</f>
        <v>15000</v>
      </c>
      <c r="Q105" s="105">
        <f>ALL!BE107</f>
        <v>0</v>
      </c>
      <c r="R105" s="103">
        <f>ALL!BF107</f>
        <v>0</v>
      </c>
      <c r="S105" s="105">
        <f>ALL!BG107</f>
        <v>0</v>
      </c>
      <c r="T105" s="105">
        <f>ALL!BH107</f>
        <v>2139500</v>
      </c>
    </row>
    <row r="106" spans="1:20" x14ac:dyDescent="0.25">
      <c r="A106" s="103" t="e">
        <f>ALL!#REF!</f>
        <v>#REF!</v>
      </c>
      <c r="B106" s="103" t="e">
        <f>ALL!#REF!</f>
        <v>#REF!</v>
      </c>
      <c r="C106" s="146" t="s">
        <v>316</v>
      </c>
      <c r="D106" s="103" t="e">
        <f>ALL!#REF!</f>
        <v>#REF!</v>
      </c>
      <c r="E106" s="105" t="e">
        <f>ALL!#REF!</f>
        <v>#REF!</v>
      </c>
      <c r="F106" s="103" t="e">
        <f>ALL!#REF!</f>
        <v>#REF!</v>
      </c>
      <c r="G106" s="105" t="e">
        <f>ALL!#REF!</f>
        <v>#REF!</v>
      </c>
      <c r="H106" s="103" t="e">
        <f>ALL!#REF!</f>
        <v>#REF!</v>
      </c>
      <c r="I106" s="105" t="e">
        <f>ALL!#REF!</f>
        <v>#REF!</v>
      </c>
      <c r="J106" s="105" t="e">
        <f>ALL!#REF!</f>
        <v>#REF!</v>
      </c>
      <c r="K106" s="103">
        <f>ALL!B108</f>
        <v>105</v>
      </c>
      <c r="L106" s="103" t="str">
        <f>ALL!C108</f>
        <v>Ustdz. Nailul Muna</v>
      </c>
      <c r="M106" s="103">
        <f t="shared" si="5"/>
        <v>3119078589</v>
      </c>
      <c r="N106" s="103">
        <f>ALL!BB108</f>
        <v>0</v>
      </c>
      <c r="O106" s="105">
        <f>ALL!BC108</f>
        <v>0</v>
      </c>
      <c r="P106" s="105">
        <f>ALL!BD108</f>
        <v>15000</v>
      </c>
      <c r="Q106" s="105">
        <f>ALL!BE108</f>
        <v>0</v>
      </c>
      <c r="R106" s="103">
        <f>ALL!BF108</f>
        <v>0</v>
      </c>
      <c r="S106" s="105">
        <f>ALL!BG108</f>
        <v>0</v>
      </c>
      <c r="T106" s="105">
        <f>ALL!BH108</f>
        <v>2015200</v>
      </c>
    </row>
    <row r="107" spans="1:20" x14ac:dyDescent="0.25">
      <c r="A107" s="103">
        <f>ALL!B109</f>
        <v>106</v>
      </c>
      <c r="B107" s="103" t="str">
        <f>ALL!C109</f>
        <v>Ust. M.Tijani Robert Kalthoum</v>
      </c>
      <c r="C107" s="103">
        <v>2015227713</v>
      </c>
      <c r="D107" s="103">
        <f>ALL!BB109</f>
        <v>0</v>
      </c>
      <c r="E107" s="105">
        <f>ALL!BC109</f>
        <v>0</v>
      </c>
      <c r="F107" s="103">
        <f>ALL!BD109</f>
        <v>15000</v>
      </c>
      <c r="G107" s="105">
        <f>ALL!BE109</f>
        <v>0</v>
      </c>
      <c r="H107" s="103">
        <f>ALL!BF109</f>
        <v>0</v>
      </c>
      <c r="I107" s="105">
        <f>ALL!BG109</f>
        <v>0</v>
      </c>
      <c r="J107" s="105">
        <f>ALL!BH109</f>
        <v>2057000</v>
      </c>
      <c r="K107" s="103">
        <f>ALL!B109</f>
        <v>106</v>
      </c>
      <c r="L107" s="103" t="str">
        <f>ALL!C109</f>
        <v>Ust. M.Tijani Robert Kalthoum</v>
      </c>
      <c r="M107" s="103">
        <f t="shared" ref="M107:M118" si="6">C107</f>
        <v>2015227713</v>
      </c>
      <c r="N107" s="103">
        <f>ALL!BB109</f>
        <v>0</v>
      </c>
      <c r="O107" s="105">
        <f>ALL!BC109</f>
        <v>0</v>
      </c>
      <c r="P107" s="105">
        <f>ALL!BD109</f>
        <v>15000</v>
      </c>
      <c r="Q107" s="105">
        <f>ALL!BE109</f>
        <v>0</v>
      </c>
      <c r="R107" s="103">
        <f>ALL!BF109</f>
        <v>0</v>
      </c>
      <c r="S107" s="105">
        <f>ALL!BG109</f>
        <v>0</v>
      </c>
      <c r="T107" s="105">
        <f>ALL!BH109</f>
        <v>2057000</v>
      </c>
    </row>
    <row r="108" spans="1:20" x14ac:dyDescent="0.25">
      <c r="A108" s="103">
        <f>ALL!B110</f>
        <v>107</v>
      </c>
      <c r="B108" s="103" t="str">
        <f>ALL!C110</f>
        <v>Ustdz. Wardah Alfin Noer</v>
      </c>
      <c r="C108" s="103">
        <v>2015227721</v>
      </c>
      <c r="D108" s="103">
        <f>ALL!BB110</f>
        <v>0</v>
      </c>
      <c r="E108" s="105">
        <f>ALL!BC110</f>
        <v>0</v>
      </c>
      <c r="F108" s="103">
        <f>ALL!BD110</f>
        <v>15000</v>
      </c>
      <c r="G108" s="105">
        <f>ALL!BE110</f>
        <v>0</v>
      </c>
      <c r="H108" s="103">
        <f>ALL!BF110</f>
        <v>0</v>
      </c>
      <c r="I108" s="105">
        <f>ALL!BG110</f>
        <v>0</v>
      </c>
      <c r="J108" s="105">
        <f>ALL!BH110</f>
        <v>1896400</v>
      </c>
      <c r="K108" s="103">
        <f>ALL!B110</f>
        <v>107</v>
      </c>
      <c r="L108" s="103" t="str">
        <f>ALL!C110</f>
        <v>Ustdz. Wardah Alfin Noer</v>
      </c>
      <c r="M108" s="103">
        <f t="shared" si="6"/>
        <v>2015227721</v>
      </c>
      <c r="N108" s="103">
        <f>ALL!BB110</f>
        <v>0</v>
      </c>
      <c r="O108" s="105">
        <f>ALL!BC110</f>
        <v>0</v>
      </c>
      <c r="P108" s="105">
        <f>ALL!BD110</f>
        <v>15000</v>
      </c>
      <c r="Q108" s="105">
        <f>ALL!BE110</f>
        <v>0</v>
      </c>
      <c r="R108" s="103">
        <f>ALL!BF110</f>
        <v>0</v>
      </c>
      <c r="S108" s="105">
        <f>ALL!BG110</f>
        <v>0</v>
      </c>
      <c r="T108" s="105">
        <f>ALL!BH110</f>
        <v>1896400</v>
      </c>
    </row>
    <row r="109" spans="1:20" x14ac:dyDescent="0.25">
      <c r="A109" s="103">
        <f>ALL!B111</f>
        <v>108</v>
      </c>
      <c r="B109" s="103" t="str">
        <f>ALL!C111</f>
        <v>Ahmad Muayyad</v>
      </c>
      <c r="C109" s="103">
        <v>2015245002</v>
      </c>
      <c r="D109" s="103">
        <f>ALL!BB111</f>
        <v>0</v>
      </c>
      <c r="E109" s="105">
        <f>ALL!BC111</f>
        <v>0</v>
      </c>
      <c r="F109" s="103">
        <f>ALL!BD111</f>
        <v>15000</v>
      </c>
      <c r="G109" s="105">
        <f>ALL!BE111</f>
        <v>0</v>
      </c>
      <c r="H109" s="103">
        <f>ALL!BF111</f>
        <v>0</v>
      </c>
      <c r="I109" s="105">
        <f>ALL!BG111</f>
        <v>0</v>
      </c>
      <c r="J109" s="105">
        <f>ALL!BH111</f>
        <v>1936000</v>
      </c>
      <c r="K109" s="103">
        <f>ALL!B111</f>
        <v>108</v>
      </c>
      <c r="L109" s="103" t="str">
        <f>ALL!C111</f>
        <v>Ahmad Muayyad</v>
      </c>
      <c r="M109" s="103">
        <f t="shared" si="6"/>
        <v>2015245002</v>
      </c>
      <c r="N109" s="103">
        <f>ALL!BB111</f>
        <v>0</v>
      </c>
      <c r="O109" s="105">
        <f>ALL!BC111</f>
        <v>0</v>
      </c>
      <c r="P109" s="105">
        <f>ALL!BD111</f>
        <v>15000</v>
      </c>
      <c r="Q109" s="105">
        <f>ALL!BE111</f>
        <v>0</v>
      </c>
      <c r="R109" s="103">
        <f>ALL!BF111</f>
        <v>0</v>
      </c>
      <c r="S109" s="105">
        <f>ALL!BG111</f>
        <v>0</v>
      </c>
      <c r="T109" s="105">
        <f>ALL!BH111</f>
        <v>1936000</v>
      </c>
    </row>
    <row r="110" spans="1:20" x14ac:dyDescent="0.25">
      <c r="A110" s="103">
        <f>ALL!B112</f>
        <v>109</v>
      </c>
      <c r="B110" s="103" t="str">
        <f>ALL!C112</f>
        <v>Nurul Shofiana</v>
      </c>
      <c r="C110" s="103">
        <v>2068104958</v>
      </c>
      <c r="D110" s="103">
        <f>ALL!BB112</f>
        <v>0</v>
      </c>
      <c r="E110" s="105">
        <f>ALL!BC112</f>
        <v>0</v>
      </c>
      <c r="F110" s="103">
        <f>ALL!BD112</f>
        <v>15000</v>
      </c>
      <c r="G110" s="105">
        <f>ALL!BE112</f>
        <v>0</v>
      </c>
      <c r="H110" s="103">
        <f>ALL!BF112</f>
        <v>0</v>
      </c>
      <c r="I110" s="105">
        <f>ALL!BG112</f>
        <v>0</v>
      </c>
      <c r="J110" s="105">
        <f>ALL!BH112</f>
        <v>2101000</v>
      </c>
      <c r="K110" s="103">
        <f>ALL!B112</f>
        <v>109</v>
      </c>
      <c r="L110" s="103" t="str">
        <f>ALL!C112</f>
        <v>Nurul Shofiana</v>
      </c>
      <c r="M110" s="103">
        <f t="shared" si="6"/>
        <v>2068104958</v>
      </c>
      <c r="N110" s="103">
        <f>ALL!BB112</f>
        <v>0</v>
      </c>
      <c r="O110" s="105">
        <f>ALL!BC112</f>
        <v>0</v>
      </c>
      <c r="P110" s="105">
        <f>ALL!BD112</f>
        <v>15000</v>
      </c>
      <c r="Q110" s="105">
        <f>ALL!BE112</f>
        <v>0</v>
      </c>
      <c r="R110" s="103">
        <f>ALL!BF112</f>
        <v>0</v>
      </c>
      <c r="S110" s="105">
        <f>ALL!BG112</f>
        <v>0</v>
      </c>
      <c r="T110" s="105">
        <f>ALL!BH112</f>
        <v>2101000</v>
      </c>
    </row>
    <row r="111" spans="1:20" x14ac:dyDescent="0.25">
      <c r="A111" s="103">
        <f>ALL!B113</f>
        <v>110</v>
      </c>
      <c r="B111" s="103" t="str">
        <f>ALL!C113</f>
        <v>Ust. Hasan Bahauddin</v>
      </c>
      <c r="C111" s="103">
        <v>2015193673</v>
      </c>
      <c r="D111" s="103">
        <f>ALL!BB113</f>
        <v>0</v>
      </c>
      <c r="E111" s="105">
        <f>ALL!BC113</f>
        <v>0</v>
      </c>
      <c r="F111" s="103">
        <f>ALL!BD113</f>
        <v>0</v>
      </c>
      <c r="G111" s="105">
        <f>ALL!BE113</f>
        <v>0</v>
      </c>
      <c r="H111" s="103">
        <f>ALL!BF113</f>
        <v>0</v>
      </c>
      <c r="I111" s="105">
        <f>ALL!BG113</f>
        <v>0</v>
      </c>
      <c r="J111" s="105">
        <f>ALL!BH113</f>
        <v>0</v>
      </c>
      <c r="K111" s="103">
        <f>ALL!B113</f>
        <v>110</v>
      </c>
      <c r="L111" s="103" t="str">
        <f>ALL!C113</f>
        <v>Ust. Hasan Bahauddin</v>
      </c>
      <c r="M111" s="103">
        <f t="shared" si="6"/>
        <v>2015193673</v>
      </c>
      <c r="N111" s="103">
        <f>ALL!BB113</f>
        <v>0</v>
      </c>
      <c r="O111" s="105">
        <f>ALL!BC113</f>
        <v>0</v>
      </c>
      <c r="P111" s="105">
        <f>ALL!BD113</f>
        <v>0</v>
      </c>
      <c r="Q111" s="105">
        <f>ALL!BE113</f>
        <v>0</v>
      </c>
      <c r="R111" s="103">
        <f>ALL!BF113</f>
        <v>0</v>
      </c>
      <c r="S111" s="105">
        <f>ALL!BG113</f>
        <v>0</v>
      </c>
      <c r="T111" s="105">
        <f>ALL!BH113</f>
        <v>0</v>
      </c>
    </row>
    <row r="112" spans="1:20" x14ac:dyDescent="0.25">
      <c r="A112" s="103">
        <f>ALL!B114</f>
        <v>111</v>
      </c>
      <c r="B112" s="103" t="str">
        <f>ALL!C114</f>
        <v>Ust. Muh. Rojih Sibghotallah Al Hafidl</v>
      </c>
      <c r="C112" s="103">
        <v>2015170762</v>
      </c>
      <c r="D112" s="103">
        <f>ALL!BB114</f>
        <v>0</v>
      </c>
      <c r="E112" s="105">
        <f>ALL!BC114</f>
        <v>0</v>
      </c>
      <c r="F112" s="103">
        <f>ALL!BD114</f>
        <v>0</v>
      </c>
      <c r="G112" s="105">
        <f>ALL!BE114</f>
        <v>24509</v>
      </c>
      <c r="H112" s="103">
        <f>ALL!BF114</f>
        <v>0</v>
      </c>
      <c r="I112" s="105">
        <f>ALL!BG114</f>
        <v>0</v>
      </c>
      <c r="J112" s="105">
        <f>ALL!BH114</f>
        <v>0</v>
      </c>
      <c r="K112" s="103">
        <f>ALL!B114</f>
        <v>111</v>
      </c>
      <c r="L112" s="103" t="str">
        <f>ALL!C114</f>
        <v>Ust. Muh. Rojih Sibghotallah Al Hafidl</v>
      </c>
      <c r="M112" s="103">
        <f t="shared" si="6"/>
        <v>2015170762</v>
      </c>
      <c r="N112" s="103">
        <f>ALL!BB114</f>
        <v>0</v>
      </c>
      <c r="O112" s="105">
        <f>ALL!BC114</f>
        <v>0</v>
      </c>
      <c r="P112" s="105">
        <f>ALL!BD114</f>
        <v>0</v>
      </c>
      <c r="Q112" s="105">
        <f>ALL!BE114</f>
        <v>24509</v>
      </c>
      <c r="R112" s="103">
        <f>ALL!BF114</f>
        <v>0</v>
      </c>
      <c r="S112" s="105">
        <f>ALL!BG114</f>
        <v>0</v>
      </c>
      <c r="T112" s="105">
        <f>ALL!BH114</f>
        <v>0</v>
      </c>
    </row>
    <row r="113" spans="1:20" x14ac:dyDescent="0.25">
      <c r="A113" s="103">
        <f>ALL!B115</f>
        <v>112</v>
      </c>
      <c r="B113" s="103" t="str">
        <f>ALL!C115</f>
        <v>Ust. Kholilur Rohman Al Hafidl</v>
      </c>
      <c r="C113" s="103">
        <v>2015000358</v>
      </c>
      <c r="D113" s="103">
        <f>ALL!BB115</f>
        <v>0</v>
      </c>
      <c r="E113" s="105">
        <f>ALL!BC115</f>
        <v>0</v>
      </c>
      <c r="F113" s="103">
        <f>ALL!BD115</f>
        <v>0</v>
      </c>
      <c r="G113" s="105">
        <f>ALL!BE115</f>
        <v>0</v>
      </c>
      <c r="H113" s="103">
        <f>ALL!BF115</f>
        <v>0</v>
      </c>
      <c r="I113" s="105">
        <f>ALL!BG115</f>
        <v>0</v>
      </c>
      <c r="J113" s="105">
        <f>ALL!BH115</f>
        <v>0</v>
      </c>
      <c r="K113" s="103">
        <f>ALL!B115</f>
        <v>112</v>
      </c>
      <c r="L113" s="103" t="str">
        <f>ALL!C115</f>
        <v>Ust. Kholilur Rohman Al Hafidl</v>
      </c>
      <c r="M113" s="103">
        <f t="shared" si="6"/>
        <v>2015000358</v>
      </c>
      <c r="N113" s="103">
        <f>ALL!BB115</f>
        <v>0</v>
      </c>
      <c r="O113" s="105">
        <f>ALL!BC115</f>
        <v>0</v>
      </c>
      <c r="P113" s="105">
        <f>ALL!BD115</f>
        <v>0</v>
      </c>
      <c r="Q113" s="105">
        <f>ALL!BE115</f>
        <v>0</v>
      </c>
      <c r="R113" s="103">
        <f>ALL!BF115</f>
        <v>0</v>
      </c>
      <c r="S113" s="105">
        <f>ALL!BG115</f>
        <v>0</v>
      </c>
      <c r="T113" s="105">
        <f>ALL!BH115</f>
        <v>0</v>
      </c>
    </row>
    <row r="114" spans="1:20" x14ac:dyDescent="0.25">
      <c r="A114" s="103">
        <f>ALL!B116</f>
        <v>113</v>
      </c>
      <c r="B114" s="103" t="str">
        <f>ALL!C116</f>
        <v>Ust. Fatchurrohman</v>
      </c>
      <c r="C114" s="103">
        <v>3015260679</v>
      </c>
      <c r="D114" s="103">
        <f>ALL!BB116</f>
        <v>0</v>
      </c>
      <c r="E114" s="105">
        <f>ALL!BC116</f>
        <v>0</v>
      </c>
      <c r="F114" s="103">
        <f>ALL!BD116</f>
        <v>0</v>
      </c>
      <c r="G114" s="105">
        <f>ALL!BE116</f>
        <v>0</v>
      </c>
      <c r="H114" s="103">
        <f>ALL!BF116</f>
        <v>0</v>
      </c>
      <c r="I114" s="105">
        <f>ALL!BG116</f>
        <v>0</v>
      </c>
      <c r="J114" s="105">
        <f>ALL!BH116</f>
        <v>0</v>
      </c>
      <c r="K114" s="103">
        <f>ALL!B116</f>
        <v>113</v>
      </c>
      <c r="L114" s="103" t="str">
        <f>ALL!C116</f>
        <v>Ust. Fatchurrohman</v>
      </c>
      <c r="M114" s="103">
        <f t="shared" si="6"/>
        <v>3015260679</v>
      </c>
      <c r="N114" s="103">
        <f>ALL!BB116</f>
        <v>0</v>
      </c>
      <c r="O114" s="105">
        <f>ALL!BC116</f>
        <v>0</v>
      </c>
      <c r="P114" s="105">
        <f>ALL!BD116</f>
        <v>0</v>
      </c>
      <c r="Q114" s="105">
        <f>ALL!BE116</f>
        <v>0</v>
      </c>
      <c r="R114" s="103">
        <f>ALL!BF116</f>
        <v>0</v>
      </c>
      <c r="S114" s="105">
        <f>ALL!BG116</f>
        <v>0</v>
      </c>
      <c r="T114" s="105">
        <f>ALL!BH116</f>
        <v>0</v>
      </c>
    </row>
    <row r="115" spans="1:20" x14ac:dyDescent="0.25">
      <c r="A115" s="103">
        <f>ALL!B117</f>
        <v>114</v>
      </c>
      <c r="B115" s="103" t="str">
        <f>ALL!C117</f>
        <v>Hendry Setya Laksono, S.Pd.</v>
      </c>
      <c r="C115" s="141">
        <v>3015128193</v>
      </c>
      <c r="D115" s="103">
        <f>ALL!BB117</f>
        <v>0</v>
      </c>
      <c r="E115" s="105">
        <f>ALL!BC117</f>
        <v>0</v>
      </c>
      <c r="F115" s="103">
        <f>ALL!BD117</f>
        <v>0</v>
      </c>
      <c r="G115" s="105">
        <f>ALL!BE117</f>
        <v>0</v>
      </c>
      <c r="H115" s="103">
        <f>ALL!BF117</f>
        <v>0</v>
      </c>
      <c r="I115" s="105">
        <f>ALL!BG117</f>
        <v>0</v>
      </c>
      <c r="J115" s="105">
        <f>ALL!BH117</f>
        <v>0</v>
      </c>
      <c r="K115" s="103">
        <f>ALL!B117</f>
        <v>114</v>
      </c>
      <c r="L115" s="103" t="str">
        <f>ALL!C117</f>
        <v>Hendry Setya Laksono, S.Pd.</v>
      </c>
      <c r="M115" s="103">
        <f t="shared" si="6"/>
        <v>3015128193</v>
      </c>
      <c r="N115" s="103">
        <f>ALL!BB117</f>
        <v>0</v>
      </c>
      <c r="O115" s="105">
        <f>ALL!BC117</f>
        <v>0</v>
      </c>
      <c r="P115" s="105">
        <f>ALL!BD117</f>
        <v>0</v>
      </c>
      <c r="Q115" s="105">
        <f>ALL!BE117</f>
        <v>0</v>
      </c>
      <c r="R115" s="103">
        <f>ALL!BF117</f>
        <v>0</v>
      </c>
      <c r="S115" s="105">
        <f>ALL!BG117</f>
        <v>0</v>
      </c>
      <c r="T115" s="105">
        <f>ALL!BH117</f>
        <v>0</v>
      </c>
    </row>
    <row r="116" spans="1:20" x14ac:dyDescent="0.25">
      <c r="A116" s="103">
        <f>ALL!B118</f>
        <v>115</v>
      </c>
      <c r="B116" s="103" t="str">
        <f>ALL!C118</f>
        <v>Supardi</v>
      </c>
      <c r="C116" s="103">
        <v>3119065428</v>
      </c>
      <c r="D116" s="103">
        <f>ALL!BB118</f>
        <v>0</v>
      </c>
      <c r="E116" s="105">
        <f>ALL!BC118</f>
        <v>0</v>
      </c>
      <c r="F116" s="103">
        <f>ALL!BD118</f>
        <v>15000</v>
      </c>
      <c r="G116" s="105">
        <f>ALL!BE118</f>
        <v>24509</v>
      </c>
      <c r="H116" s="103">
        <f>ALL!BF118</f>
        <v>0</v>
      </c>
      <c r="I116" s="105">
        <f>ALL!BG118</f>
        <v>0</v>
      </c>
      <c r="J116" s="105">
        <f>ALL!BH118</f>
        <v>996391</v>
      </c>
      <c r="K116" s="103">
        <f>ALL!B118</f>
        <v>115</v>
      </c>
      <c r="L116" s="103" t="str">
        <f>ALL!C118</f>
        <v>Supardi</v>
      </c>
      <c r="M116" s="103">
        <f t="shared" si="6"/>
        <v>3119065428</v>
      </c>
      <c r="N116" s="103">
        <f>ALL!BB118</f>
        <v>0</v>
      </c>
      <c r="O116" s="105">
        <f>ALL!BC118</f>
        <v>0</v>
      </c>
      <c r="P116" s="105">
        <f>ALL!BD118</f>
        <v>15000</v>
      </c>
      <c r="Q116" s="105">
        <f>ALL!BE118</f>
        <v>24509</v>
      </c>
      <c r="R116" s="103">
        <f>ALL!BF118</f>
        <v>0</v>
      </c>
      <c r="S116" s="105">
        <f>ALL!BG118</f>
        <v>0</v>
      </c>
      <c r="T116" s="105">
        <f>ALL!BH118</f>
        <v>996391</v>
      </c>
    </row>
    <row r="117" spans="1:20" x14ac:dyDescent="0.25">
      <c r="A117" s="103">
        <f>ALL!B119</f>
        <v>116</v>
      </c>
      <c r="B117" s="103" t="str">
        <f>ALL!C119</f>
        <v>Eri Erviana S.Pd.</v>
      </c>
      <c r="C117" s="141">
        <v>3093147218</v>
      </c>
      <c r="D117" s="103">
        <f>ALL!BB119</f>
        <v>0</v>
      </c>
      <c r="E117" s="105">
        <f>ALL!BC119</f>
        <v>0</v>
      </c>
      <c r="F117" s="103">
        <f>ALL!BD119</f>
        <v>15000</v>
      </c>
      <c r="G117" s="105">
        <f>ALL!BE119</f>
        <v>0</v>
      </c>
      <c r="H117" s="103">
        <f>ALL!BF119</f>
        <v>0</v>
      </c>
      <c r="I117" s="105">
        <f>ALL!BG119</f>
        <v>0</v>
      </c>
      <c r="J117" s="105">
        <f>ALL!BH119</f>
        <v>1797500</v>
      </c>
      <c r="K117" s="103">
        <f>ALL!B119</f>
        <v>116</v>
      </c>
      <c r="L117" s="103" t="str">
        <f>ALL!C119</f>
        <v>Eri Erviana S.Pd.</v>
      </c>
      <c r="M117" s="103">
        <f t="shared" si="6"/>
        <v>3093147218</v>
      </c>
      <c r="N117" s="103">
        <f>ALL!BB119</f>
        <v>0</v>
      </c>
      <c r="O117" s="105">
        <f>ALL!BC119</f>
        <v>0</v>
      </c>
      <c r="P117" s="105">
        <f>ALL!BD119</f>
        <v>15000</v>
      </c>
      <c r="Q117" s="105">
        <f>ALL!BE119</f>
        <v>0</v>
      </c>
      <c r="R117" s="103">
        <f>ALL!BF119</f>
        <v>0</v>
      </c>
      <c r="S117" s="105">
        <f>ALL!BG119</f>
        <v>0</v>
      </c>
      <c r="T117" s="105">
        <f>ALL!BH119</f>
        <v>1797500</v>
      </c>
    </row>
    <row r="118" spans="1:20" x14ac:dyDescent="0.25">
      <c r="A118" s="103">
        <f>ALL!B120</f>
        <v>117</v>
      </c>
      <c r="B118" s="103" t="str">
        <f>ALL!C120</f>
        <v>Sri Rohmatun S.Pd.</v>
      </c>
      <c r="C118" s="103">
        <v>3119059509</v>
      </c>
      <c r="D118" s="103">
        <f>ALL!BB120</f>
        <v>0</v>
      </c>
      <c r="E118" s="105">
        <f>ALL!BC120</f>
        <v>0</v>
      </c>
      <c r="F118" s="103">
        <f>ALL!BD120</f>
        <v>15000</v>
      </c>
      <c r="G118" s="105">
        <f>ALL!BE120</f>
        <v>0</v>
      </c>
      <c r="H118" s="103">
        <f>ALL!BF120</f>
        <v>0</v>
      </c>
      <c r="I118" s="105">
        <f>ALL!BG120</f>
        <v>220000</v>
      </c>
      <c r="J118" s="105">
        <f>ALL!BH120</f>
        <v>1893800</v>
      </c>
      <c r="K118" s="103">
        <f>ALL!B120</f>
        <v>117</v>
      </c>
      <c r="L118" s="103" t="str">
        <f>ALL!C120</f>
        <v>Sri Rohmatun S.Pd.</v>
      </c>
      <c r="M118" s="103">
        <f t="shared" si="6"/>
        <v>3119059509</v>
      </c>
      <c r="N118" s="103">
        <f>ALL!BB120</f>
        <v>0</v>
      </c>
      <c r="O118" s="105">
        <f>ALL!BC120</f>
        <v>0</v>
      </c>
      <c r="P118" s="105">
        <f>ALL!BD120</f>
        <v>15000</v>
      </c>
      <c r="Q118" s="105">
        <f>ALL!BE120</f>
        <v>0</v>
      </c>
      <c r="R118" s="103">
        <f>ALL!BF120</f>
        <v>0</v>
      </c>
      <c r="S118" s="105">
        <f>ALL!BG120</f>
        <v>220000</v>
      </c>
      <c r="T118" s="105">
        <f>ALL!BH120</f>
        <v>1893800</v>
      </c>
    </row>
    <row r="119" spans="1:20" x14ac:dyDescent="0.25">
      <c r="A119" s="103"/>
      <c r="B119" s="103"/>
      <c r="C119" s="103"/>
      <c r="D119" s="293" t="e">
        <f t="shared" ref="D119:I119" si="7">SUM(D2:D118)</f>
        <v>#REF!</v>
      </c>
      <c r="E119" s="293" t="e">
        <f t="shared" si="7"/>
        <v>#REF!</v>
      </c>
      <c r="F119" s="293" t="e">
        <f t="shared" si="7"/>
        <v>#REF!</v>
      </c>
      <c r="G119" s="293" t="e">
        <f t="shared" si="7"/>
        <v>#REF!</v>
      </c>
      <c r="H119" s="293" t="e">
        <f t="shared" si="7"/>
        <v>#REF!</v>
      </c>
      <c r="I119" s="293" t="e">
        <f t="shared" si="7"/>
        <v>#REF!</v>
      </c>
      <c r="J119" s="293" t="e">
        <f>SUM(J2:J118)</f>
        <v>#REF!</v>
      </c>
      <c r="K119" s="103">
        <f>ALL!B121</f>
        <v>0</v>
      </c>
      <c r="L119" s="103"/>
      <c r="M119" s="103"/>
      <c r="N119" s="293">
        <f>SUM(N2:N118)</f>
        <v>4350000</v>
      </c>
      <c r="O119" s="293">
        <f t="shared" ref="O119:T119" si="8">SUM(O2:O118)</f>
        <v>31677500</v>
      </c>
      <c r="P119" s="293">
        <f t="shared" si="8"/>
        <v>1620000</v>
      </c>
      <c r="Q119" s="293">
        <f t="shared" si="8"/>
        <v>4345387</v>
      </c>
      <c r="R119" s="293">
        <f t="shared" si="8"/>
        <v>7000000</v>
      </c>
      <c r="S119" s="293">
        <f t="shared" si="8"/>
        <v>4740527</v>
      </c>
      <c r="T119" s="293">
        <f t="shared" si="8"/>
        <v>195398922</v>
      </c>
    </row>
    <row r="121" spans="1:20" x14ac:dyDescent="0.25">
      <c r="G121" s="2"/>
      <c r="J121" s="297" t="e">
        <f>J119+D119+E119+F119+G119+H119+I119</f>
        <v>#REF!</v>
      </c>
    </row>
    <row r="122" spans="1:20" ht="15.75" x14ac:dyDescent="0.25">
      <c r="A122" s="546" t="s">
        <v>332</v>
      </c>
      <c r="B122" s="546"/>
      <c r="C122" s="546"/>
      <c r="D122" s="546"/>
      <c r="E122" s="546"/>
      <c r="F122" s="546"/>
      <c r="G122" s="546"/>
      <c r="H122" s="297"/>
    </row>
    <row r="123" spans="1:20" ht="15.75" x14ac:dyDescent="0.25">
      <c r="A123" s="546" t="s">
        <v>495</v>
      </c>
      <c r="B123" s="546"/>
      <c r="C123" s="546"/>
      <c r="D123" s="546"/>
      <c r="E123" s="546"/>
      <c r="F123" s="546"/>
      <c r="G123" s="546"/>
    </row>
    <row r="125" spans="1:20" x14ac:dyDescent="0.25">
      <c r="A125" s="139" t="s">
        <v>0</v>
      </c>
      <c r="B125" s="148" t="s">
        <v>310</v>
      </c>
      <c r="C125" s="148" t="s">
        <v>311</v>
      </c>
      <c r="D125" s="148" t="s">
        <v>312</v>
      </c>
      <c r="E125" s="148" t="s">
        <v>302</v>
      </c>
      <c r="F125" s="148" t="s">
        <v>317</v>
      </c>
      <c r="G125" s="148" t="s">
        <v>318</v>
      </c>
    </row>
    <row r="126" spans="1:20" x14ac:dyDescent="0.25">
      <c r="A126" s="294">
        <f>K2</f>
        <v>1</v>
      </c>
      <c r="B126" s="103" t="str">
        <f>L2</f>
        <v>Siti Latifah</v>
      </c>
      <c r="C126" s="294">
        <f>M2</f>
        <v>2015077142</v>
      </c>
      <c r="D126" s="103">
        <f>N2</f>
        <v>200000</v>
      </c>
      <c r="E126" s="105">
        <f>O2</f>
        <v>0</v>
      </c>
      <c r="F126" s="105">
        <f>D126+E126+G126</f>
        <v>1950322</v>
      </c>
      <c r="G126" s="105">
        <f>T2</f>
        <v>1750322</v>
      </c>
    </row>
    <row r="127" spans="1:20" x14ac:dyDescent="0.25">
      <c r="A127" s="294">
        <f t="shared" ref="A127:A190" si="9">K3</f>
        <v>2</v>
      </c>
      <c r="B127" s="103" t="str">
        <f t="shared" ref="B127:E127" si="10">L3</f>
        <v>Ulwiyatur Rif'ah, S.E</v>
      </c>
      <c r="C127" s="294">
        <f t="shared" si="10"/>
        <v>3015128177</v>
      </c>
      <c r="D127" s="103">
        <f t="shared" si="10"/>
        <v>100000</v>
      </c>
      <c r="E127" s="105">
        <f t="shared" si="10"/>
        <v>0</v>
      </c>
      <c r="F127" s="105">
        <f t="shared" ref="F127:F190" si="11">D127+E127+G127</f>
        <v>2194470</v>
      </c>
      <c r="G127" s="105">
        <f t="shared" ref="G127:G190" si="12">T3</f>
        <v>2094470</v>
      </c>
    </row>
    <row r="128" spans="1:20" x14ac:dyDescent="0.25">
      <c r="A128" s="294">
        <f t="shared" si="9"/>
        <v>3</v>
      </c>
      <c r="B128" s="103" t="str">
        <f t="shared" ref="B128:E128" si="13">L4</f>
        <v>Rini Shohihah, S.E</v>
      </c>
      <c r="C128" s="294">
        <f t="shared" si="13"/>
        <v>2015077061</v>
      </c>
      <c r="D128" s="103">
        <f t="shared" si="13"/>
        <v>300000</v>
      </c>
      <c r="E128" s="105">
        <f t="shared" si="13"/>
        <v>996500</v>
      </c>
      <c r="F128" s="105">
        <f t="shared" si="11"/>
        <v>2057313</v>
      </c>
      <c r="G128" s="105">
        <f t="shared" si="12"/>
        <v>760813</v>
      </c>
    </row>
    <row r="129" spans="1:7" x14ac:dyDescent="0.25">
      <c r="A129" s="294">
        <f t="shared" si="9"/>
        <v>4</v>
      </c>
      <c r="B129" s="103" t="str">
        <f t="shared" ref="B129:E129" si="14">L5</f>
        <v>Winda Zuliyaningsih</v>
      </c>
      <c r="C129" s="294">
        <f t="shared" si="14"/>
        <v>3015169876</v>
      </c>
      <c r="D129" s="103">
        <f t="shared" si="14"/>
        <v>0</v>
      </c>
      <c r="E129" s="105">
        <f t="shared" si="14"/>
        <v>0</v>
      </c>
      <c r="F129" s="105">
        <f t="shared" si="11"/>
        <v>1497700</v>
      </c>
      <c r="G129" s="105">
        <f t="shared" si="12"/>
        <v>1497700</v>
      </c>
    </row>
    <row r="130" spans="1:7" x14ac:dyDescent="0.25">
      <c r="A130" s="294">
        <f t="shared" si="9"/>
        <v>5</v>
      </c>
      <c r="B130" s="103" t="str">
        <f t="shared" ref="B130:E130" si="15">L6</f>
        <v>Nawan Riyan Zufar, S.Pd.</v>
      </c>
      <c r="C130" s="294">
        <f t="shared" si="15"/>
        <v>2093070553</v>
      </c>
      <c r="D130" s="103">
        <f t="shared" si="15"/>
        <v>0</v>
      </c>
      <c r="E130" s="105">
        <f t="shared" si="15"/>
        <v>0</v>
      </c>
      <c r="F130" s="105">
        <f t="shared" si="11"/>
        <v>3104600</v>
      </c>
      <c r="G130" s="105">
        <f t="shared" si="12"/>
        <v>3104600</v>
      </c>
    </row>
    <row r="131" spans="1:7" x14ac:dyDescent="0.25">
      <c r="A131" s="294">
        <f t="shared" si="9"/>
        <v>6</v>
      </c>
      <c r="B131" s="103" t="str">
        <f t="shared" ref="B131:E131" si="16">L7</f>
        <v>Rona Faroni, S.Kom</v>
      </c>
      <c r="C131" s="294">
        <f t="shared" si="16"/>
        <v>2015168857</v>
      </c>
      <c r="D131" s="103">
        <f t="shared" si="16"/>
        <v>0</v>
      </c>
      <c r="E131" s="105">
        <f t="shared" si="16"/>
        <v>0</v>
      </c>
      <c r="F131" s="105">
        <f t="shared" si="11"/>
        <v>2383500</v>
      </c>
      <c r="G131" s="105">
        <f t="shared" si="12"/>
        <v>2383500</v>
      </c>
    </row>
    <row r="132" spans="1:7" x14ac:dyDescent="0.25">
      <c r="A132" s="294">
        <f t="shared" si="9"/>
        <v>7</v>
      </c>
      <c r="B132" s="103" t="str">
        <f t="shared" ref="B132:E132" si="17">L8</f>
        <v>Aufal Hadaya, M.Pd</v>
      </c>
      <c r="C132" s="294">
        <f t="shared" si="17"/>
        <v>3015210558</v>
      </c>
      <c r="D132" s="103">
        <f t="shared" si="17"/>
        <v>100000</v>
      </c>
      <c r="E132" s="105">
        <f t="shared" si="17"/>
        <v>0</v>
      </c>
      <c r="F132" s="105">
        <f t="shared" si="11"/>
        <v>2525800</v>
      </c>
      <c r="G132" s="105">
        <f t="shared" si="12"/>
        <v>2425800</v>
      </c>
    </row>
    <row r="133" spans="1:7" x14ac:dyDescent="0.25">
      <c r="A133" s="294">
        <f t="shared" si="9"/>
        <v>8</v>
      </c>
      <c r="B133" s="103" t="str">
        <f t="shared" ref="B133:E133" si="18">L9</f>
        <v>Edi Susilo, S. Pd. I</v>
      </c>
      <c r="C133" s="294">
        <f t="shared" si="18"/>
        <v>3015118139</v>
      </c>
      <c r="D133" s="103">
        <f t="shared" si="18"/>
        <v>100000</v>
      </c>
      <c r="E133" s="105">
        <f t="shared" si="18"/>
        <v>1335000</v>
      </c>
      <c r="F133" s="105">
        <f t="shared" si="11"/>
        <v>3396513</v>
      </c>
      <c r="G133" s="105">
        <f t="shared" si="12"/>
        <v>1961513</v>
      </c>
    </row>
    <row r="134" spans="1:7" x14ac:dyDescent="0.25">
      <c r="A134" s="294">
        <f t="shared" si="9"/>
        <v>9</v>
      </c>
      <c r="B134" s="103" t="str">
        <f t="shared" ref="B134:E134" si="19">L10</f>
        <v xml:space="preserve">Khoiril Anam, M.Pd. </v>
      </c>
      <c r="C134" s="294">
        <f t="shared" si="19"/>
        <v>2068053661</v>
      </c>
      <c r="D134" s="103">
        <f t="shared" si="19"/>
        <v>0</v>
      </c>
      <c r="E134" s="105">
        <f t="shared" si="19"/>
        <v>0</v>
      </c>
      <c r="F134" s="105">
        <f t="shared" si="11"/>
        <v>2651000</v>
      </c>
      <c r="G134" s="105">
        <f t="shared" si="12"/>
        <v>2651000</v>
      </c>
    </row>
    <row r="135" spans="1:7" x14ac:dyDescent="0.25">
      <c r="A135" s="294">
        <f t="shared" si="9"/>
        <v>10</v>
      </c>
      <c r="B135" s="103" t="str">
        <f t="shared" ref="B135:E135" si="20">L11</f>
        <v xml:space="preserve">Mariatul Qibityah, S.Pd. </v>
      </c>
      <c r="C135" s="294">
        <f t="shared" si="20"/>
        <v>3015117981</v>
      </c>
      <c r="D135" s="103">
        <f t="shared" si="20"/>
        <v>300000</v>
      </c>
      <c r="E135" s="105">
        <f t="shared" si="20"/>
        <v>1335000</v>
      </c>
      <c r="F135" s="105">
        <f t="shared" si="11"/>
        <v>3047495</v>
      </c>
      <c r="G135" s="105">
        <f t="shared" si="12"/>
        <v>1412495</v>
      </c>
    </row>
    <row r="136" spans="1:7" x14ac:dyDescent="0.25">
      <c r="A136" s="294">
        <f t="shared" si="9"/>
        <v>11</v>
      </c>
      <c r="B136" s="103" t="str">
        <f t="shared" ref="B136:E136" si="21">L12</f>
        <v xml:space="preserve">Rahmat Uki Bahtiar, S.Sy, S.Pd. </v>
      </c>
      <c r="C136" s="294">
        <f t="shared" si="21"/>
        <v>3015118040</v>
      </c>
      <c r="D136" s="103">
        <f t="shared" si="21"/>
        <v>0</v>
      </c>
      <c r="E136" s="105">
        <f t="shared" si="21"/>
        <v>1335000</v>
      </c>
      <c r="F136" s="105">
        <f t="shared" si="11"/>
        <v>2651604</v>
      </c>
      <c r="G136" s="105">
        <f t="shared" si="12"/>
        <v>1316604</v>
      </c>
    </row>
    <row r="137" spans="1:7" x14ac:dyDescent="0.25">
      <c r="A137" s="294">
        <f t="shared" si="9"/>
        <v>12</v>
      </c>
      <c r="B137" s="103" t="str">
        <f t="shared" ref="B137:E137" si="22">L13</f>
        <v>Desitrillia Nurjannah, S.Pd.</v>
      </c>
      <c r="C137" s="294">
        <f t="shared" si="22"/>
        <v>3015128207</v>
      </c>
      <c r="D137" s="103">
        <f t="shared" si="22"/>
        <v>100000</v>
      </c>
      <c r="E137" s="105">
        <f t="shared" si="22"/>
        <v>1335000</v>
      </c>
      <c r="F137" s="105">
        <f t="shared" si="11"/>
        <v>2583313</v>
      </c>
      <c r="G137" s="105">
        <f t="shared" si="12"/>
        <v>1148313</v>
      </c>
    </row>
    <row r="138" spans="1:7" x14ac:dyDescent="0.25">
      <c r="A138" s="294">
        <f t="shared" si="9"/>
        <v>13</v>
      </c>
      <c r="B138" s="103" t="str">
        <f t="shared" ref="B138:E138" si="23">L14</f>
        <v>Rizki Margi Tirta Ramadhani, S.Pd.</v>
      </c>
      <c r="C138" s="294">
        <f t="shared" si="23"/>
        <v>3015307993</v>
      </c>
      <c r="D138" s="103">
        <f t="shared" si="23"/>
        <v>0</v>
      </c>
      <c r="E138" s="105">
        <f t="shared" si="23"/>
        <v>0</v>
      </c>
      <c r="F138" s="105">
        <f t="shared" si="11"/>
        <v>1750400</v>
      </c>
      <c r="G138" s="105">
        <f t="shared" si="12"/>
        <v>1750400</v>
      </c>
    </row>
    <row r="139" spans="1:7" x14ac:dyDescent="0.25">
      <c r="A139" s="294">
        <f t="shared" si="9"/>
        <v>14</v>
      </c>
      <c r="B139" s="103" t="str">
        <f t="shared" ref="B139:E139" si="24">L15</f>
        <v>Nurun Nahari Syarifah, S.Psi.</v>
      </c>
      <c r="C139" s="294">
        <f t="shared" si="24"/>
        <v>3015118015</v>
      </c>
      <c r="D139" s="103">
        <f t="shared" si="24"/>
        <v>400000</v>
      </c>
      <c r="E139" s="105">
        <f t="shared" si="24"/>
        <v>0</v>
      </c>
      <c r="F139" s="105">
        <f t="shared" si="11"/>
        <v>1843386</v>
      </c>
      <c r="G139" s="105">
        <f t="shared" si="12"/>
        <v>1443386</v>
      </c>
    </row>
    <row r="140" spans="1:7" x14ac:dyDescent="0.25">
      <c r="A140" s="294">
        <f t="shared" si="9"/>
        <v>15</v>
      </c>
      <c r="B140" s="103" t="str">
        <f t="shared" ref="B140:E140" si="25">L16</f>
        <v>NUR KHAMIDAH, S.Pd.</v>
      </c>
      <c r="C140" s="294">
        <f t="shared" si="25"/>
        <v>3015307977</v>
      </c>
      <c r="D140" s="103">
        <f t="shared" si="25"/>
        <v>0</v>
      </c>
      <c r="E140" s="105">
        <f t="shared" si="25"/>
        <v>0</v>
      </c>
      <c r="F140" s="105">
        <f t="shared" si="11"/>
        <v>1790000</v>
      </c>
      <c r="G140" s="105">
        <f t="shared" si="12"/>
        <v>1790000</v>
      </c>
    </row>
    <row r="141" spans="1:7" x14ac:dyDescent="0.25">
      <c r="A141" s="294">
        <f t="shared" si="9"/>
        <v>16</v>
      </c>
      <c r="B141" s="103" t="str">
        <f t="shared" ref="B141:E141" si="26">L17</f>
        <v>Syaifiana Anjar Puspitasari,S.Pd.</v>
      </c>
      <c r="C141" s="294" t="str">
        <f t="shared" si="26"/>
        <v>2068053679</v>
      </c>
      <c r="D141" s="103">
        <f t="shared" si="26"/>
        <v>0</v>
      </c>
      <c r="E141" s="105">
        <f t="shared" si="26"/>
        <v>0</v>
      </c>
      <c r="F141" s="105">
        <f t="shared" si="11"/>
        <v>2560600</v>
      </c>
      <c r="G141" s="105">
        <f t="shared" si="12"/>
        <v>2560600</v>
      </c>
    </row>
    <row r="142" spans="1:7" x14ac:dyDescent="0.25">
      <c r="A142" s="294">
        <f t="shared" si="9"/>
        <v>17</v>
      </c>
      <c r="B142" s="103" t="str">
        <f t="shared" ref="B142:E142" si="27">L18</f>
        <v>FARRAS ULAYYA ALLIFNI, S.Pd.</v>
      </c>
      <c r="C142" s="294">
        <f t="shared" si="27"/>
        <v>3015307985</v>
      </c>
      <c r="D142" s="103">
        <f t="shared" si="27"/>
        <v>0</v>
      </c>
      <c r="E142" s="105">
        <f t="shared" si="27"/>
        <v>0</v>
      </c>
      <c r="F142" s="105">
        <f t="shared" si="11"/>
        <v>1750400</v>
      </c>
      <c r="G142" s="105">
        <f t="shared" si="12"/>
        <v>1750400</v>
      </c>
    </row>
    <row r="143" spans="1:7" x14ac:dyDescent="0.25">
      <c r="A143" s="294">
        <f t="shared" si="9"/>
        <v>18</v>
      </c>
      <c r="B143" s="103" t="str">
        <f t="shared" ref="B143:E143" si="28">L19</f>
        <v>Muhimmatun Nisa', S. Pd</v>
      </c>
      <c r="C143" s="294">
        <f t="shared" si="28"/>
        <v>3015118007</v>
      </c>
      <c r="D143" s="103">
        <f t="shared" si="28"/>
        <v>100000</v>
      </c>
      <c r="E143" s="105">
        <f t="shared" si="28"/>
        <v>0</v>
      </c>
      <c r="F143" s="105">
        <f t="shared" si="11"/>
        <v>2317822</v>
      </c>
      <c r="G143" s="105">
        <f t="shared" si="12"/>
        <v>2217822</v>
      </c>
    </row>
    <row r="144" spans="1:7" x14ac:dyDescent="0.25">
      <c r="A144" s="294">
        <f t="shared" si="9"/>
        <v>19</v>
      </c>
      <c r="B144" s="103" t="str">
        <f t="shared" ref="B144:E144" si="29">L20</f>
        <v xml:space="preserve">Rizki Hardyanti, S.Pd. </v>
      </c>
      <c r="C144" s="294">
        <f t="shared" si="29"/>
        <v>2093104091</v>
      </c>
      <c r="D144" s="103">
        <f t="shared" si="29"/>
        <v>0</v>
      </c>
      <c r="E144" s="105">
        <f t="shared" si="29"/>
        <v>0</v>
      </c>
      <c r="F144" s="105">
        <f t="shared" si="11"/>
        <v>2457000</v>
      </c>
      <c r="G144" s="105">
        <f t="shared" si="12"/>
        <v>2457000</v>
      </c>
    </row>
    <row r="145" spans="1:12" x14ac:dyDescent="0.25">
      <c r="A145" s="294">
        <f t="shared" si="9"/>
        <v>20</v>
      </c>
      <c r="B145" s="103" t="str">
        <f t="shared" ref="B145:E145" si="30">L21</f>
        <v>Asmal Wafa, S.Pd.</v>
      </c>
      <c r="C145" s="294">
        <f t="shared" si="30"/>
        <v>3015118058</v>
      </c>
      <c r="D145" s="103">
        <f t="shared" si="30"/>
        <v>200000</v>
      </c>
      <c r="E145" s="105">
        <f t="shared" si="30"/>
        <v>1335000</v>
      </c>
      <c r="F145" s="105">
        <f t="shared" si="11"/>
        <v>2961513</v>
      </c>
      <c r="G145" s="105">
        <f t="shared" si="12"/>
        <v>1426513</v>
      </c>
    </row>
    <row r="146" spans="1:12" x14ac:dyDescent="0.25">
      <c r="A146" s="294">
        <f t="shared" si="9"/>
        <v>21</v>
      </c>
      <c r="B146" s="103" t="str">
        <f t="shared" ref="B146:E146" si="31">L22</f>
        <v>HANIF MUSTAQFIROH, S.Pd.</v>
      </c>
      <c r="C146" s="294">
        <f t="shared" si="31"/>
        <v>3015308001</v>
      </c>
      <c r="D146" s="103">
        <f t="shared" si="31"/>
        <v>0</v>
      </c>
      <c r="E146" s="105">
        <f t="shared" si="31"/>
        <v>0</v>
      </c>
      <c r="F146" s="105">
        <f t="shared" si="11"/>
        <v>2255000</v>
      </c>
      <c r="G146" s="105">
        <f t="shared" si="12"/>
        <v>2255000</v>
      </c>
    </row>
    <row r="147" spans="1:12" x14ac:dyDescent="0.25">
      <c r="A147" s="294">
        <f t="shared" si="9"/>
        <v>22</v>
      </c>
      <c r="B147" s="103" t="str">
        <f t="shared" ref="B147:E147" si="32">L23</f>
        <v xml:space="preserve">Firda Farihatul Ulya, S.Pd. </v>
      </c>
      <c r="C147" s="294">
        <f t="shared" si="32"/>
        <v>2093089556</v>
      </c>
      <c r="D147" s="103">
        <f t="shared" si="32"/>
        <v>0</v>
      </c>
      <c r="E147" s="105">
        <f t="shared" si="32"/>
        <v>0</v>
      </c>
      <c r="F147" s="105">
        <f t="shared" si="11"/>
        <v>2660600</v>
      </c>
      <c r="G147" s="105">
        <f t="shared" si="12"/>
        <v>2660600</v>
      </c>
    </row>
    <row r="148" spans="1:12" x14ac:dyDescent="0.25">
      <c r="A148" s="294">
        <f t="shared" si="9"/>
        <v>23</v>
      </c>
      <c r="B148" s="103" t="str">
        <f t="shared" ref="B148:E148" si="33">L24</f>
        <v xml:space="preserve">Luqman Khafid, M.Pd. </v>
      </c>
      <c r="C148" s="294">
        <f t="shared" si="33"/>
        <v>2015182485</v>
      </c>
      <c r="D148" s="103">
        <f t="shared" si="33"/>
        <v>0</v>
      </c>
      <c r="E148" s="105">
        <f t="shared" si="33"/>
        <v>0</v>
      </c>
      <c r="F148" s="105">
        <f t="shared" si="11"/>
        <v>2567600</v>
      </c>
      <c r="G148" s="105">
        <f t="shared" si="12"/>
        <v>2567600</v>
      </c>
      <c r="I148" t="s">
        <v>433</v>
      </c>
    </row>
    <row r="149" spans="1:12" x14ac:dyDescent="0.25">
      <c r="A149" s="294">
        <f t="shared" si="9"/>
        <v>24</v>
      </c>
      <c r="B149" s="103" t="str">
        <f t="shared" ref="B149:E149" si="34">L25</f>
        <v xml:space="preserve">Sri Hartatik, S.Pd. </v>
      </c>
      <c r="C149" s="294">
        <f t="shared" si="34"/>
        <v>2068064280</v>
      </c>
      <c r="D149" s="103">
        <f t="shared" si="34"/>
        <v>0</v>
      </c>
      <c r="E149" s="105">
        <f t="shared" si="34"/>
        <v>0</v>
      </c>
      <c r="F149" s="105">
        <f t="shared" si="11"/>
        <v>2683500</v>
      </c>
      <c r="G149" s="105">
        <f t="shared" si="12"/>
        <v>2683500</v>
      </c>
      <c r="I149" t="s">
        <v>434</v>
      </c>
      <c r="L149" s="296">
        <v>249149288</v>
      </c>
    </row>
    <row r="150" spans="1:12" x14ac:dyDescent="0.25">
      <c r="A150" s="294">
        <f t="shared" si="9"/>
        <v>25</v>
      </c>
      <c r="B150" s="103" t="str">
        <f t="shared" ref="B150:E150" si="35">L26</f>
        <v xml:space="preserve">Raka Adi Setya, S.Pd. </v>
      </c>
      <c r="C150" s="294">
        <f t="shared" si="35"/>
        <v>2015235091</v>
      </c>
      <c r="D150" s="103">
        <f t="shared" si="35"/>
        <v>0</v>
      </c>
      <c r="E150" s="105">
        <f t="shared" si="35"/>
        <v>0</v>
      </c>
      <c r="F150" s="105">
        <f t="shared" si="11"/>
        <v>1690000</v>
      </c>
      <c r="G150" s="105">
        <f t="shared" si="12"/>
        <v>1690000</v>
      </c>
      <c r="I150" t="s">
        <v>435</v>
      </c>
      <c r="L150" s="296">
        <v>60821000</v>
      </c>
    </row>
    <row r="151" spans="1:12" x14ac:dyDescent="0.25">
      <c r="A151" s="294">
        <f t="shared" si="9"/>
        <v>26</v>
      </c>
      <c r="B151" s="103" t="str">
        <f t="shared" ref="B151:E151" si="36">L27</f>
        <v>Maulida Rahmawati, S.Pd.</v>
      </c>
      <c r="C151" s="294">
        <f t="shared" si="36"/>
        <v>2093089602</v>
      </c>
      <c r="D151" s="103">
        <f t="shared" si="36"/>
        <v>0</v>
      </c>
      <c r="E151" s="105">
        <f t="shared" si="36"/>
        <v>0</v>
      </c>
      <c r="F151" s="105">
        <f t="shared" si="11"/>
        <v>2504600</v>
      </c>
      <c r="G151" s="105">
        <f t="shared" si="12"/>
        <v>2504600</v>
      </c>
      <c r="I151" t="s">
        <v>436</v>
      </c>
      <c r="L151" s="296">
        <v>6043000</v>
      </c>
    </row>
    <row r="152" spans="1:12" x14ac:dyDescent="0.25">
      <c r="A152" s="294">
        <f t="shared" si="9"/>
        <v>27</v>
      </c>
      <c r="B152" s="103" t="str">
        <f t="shared" ref="B152:E152" si="37">L28</f>
        <v xml:space="preserve">Khoiril Anwar, S.Pd. </v>
      </c>
      <c r="C152" s="294">
        <f t="shared" si="37"/>
        <v>3015134509</v>
      </c>
      <c r="D152" s="103">
        <f t="shared" si="37"/>
        <v>0</v>
      </c>
      <c r="E152" s="105">
        <f t="shared" si="37"/>
        <v>0</v>
      </c>
      <c r="F152" s="105">
        <f t="shared" si="11"/>
        <v>1905982</v>
      </c>
      <c r="G152" s="105">
        <f t="shared" si="12"/>
        <v>1905982</v>
      </c>
      <c r="I152" t="s">
        <v>437</v>
      </c>
      <c r="L152" s="296">
        <v>6712000</v>
      </c>
    </row>
    <row r="153" spans="1:12" x14ac:dyDescent="0.25">
      <c r="A153" s="294">
        <f t="shared" si="9"/>
        <v>28</v>
      </c>
      <c r="B153" s="103" t="str">
        <f t="shared" ref="B153:E153" si="38">L29</f>
        <v xml:space="preserve">Ni'matul Afifah, S.Pd. </v>
      </c>
      <c r="C153" s="294">
        <f t="shared" si="38"/>
        <v>3015117990</v>
      </c>
      <c r="D153" s="103">
        <f t="shared" si="38"/>
        <v>600000</v>
      </c>
      <c r="E153" s="105">
        <f t="shared" si="38"/>
        <v>0</v>
      </c>
      <c r="F153" s="105">
        <f t="shared" si="11"/>
        <v>2262004</v>
      </c>
      <c r="G153" s="105">
        <f t="shared" si="12"/>
        <v>1662004</v>
      </c>
      <c r="I153" t="s">
        <v>438</v>
      </c>
      <c r="L153" s="296">
        <v>39634000</v>
      </c>
    </row>
    <row r="154" spans="1:12" x14ac:dyDescent="0.25">
      <c r="A154" s="294">
        <f t="shared" si="9"/>
        <v>29</v>
      </c>
      <c r="B154" s="103" t="str">
        <f t="shared" ref="B154:E154" si="39">L30</f>
        <v>Risqa Nur Fadhilah, S.Pd.</v>
      </c>
      <c r="C154" s="294">
        <f t="shared" si="39"/>
        <v>2015080411</v>
      </c>
      <c r="D154" s="103">
        <f t="shared" si="39"/>
        <v>0</v>
      </c>
      <c r="E154" s="105">
        <f t="shared" si="39"/>
        <v>0</v>
      </c>
      <c r="F154" s="105">
        <f t="shared" si="11"/>
        <v>2600000</v>
      </c>
      <c r="G154" s="105">
        <f t="shared" si="12"/>
        <v>2600000</v>
      </c>
      <c r="I154" t="s">
        <v>431</v>
      </c>
      <c r="L154" s="296">
        <v>15000000</v>
      </c>
    </row>
    <row r="155" spans="1:12" x14ac:dyDescent="0.25">
      <c r="A155" s="294">
        <f t="shared" si="9"/>
        <v>30</v>
      </c>
      <c r="B155" s="103" t="str">
        <f t="shared" ref="B155:E155" si="40">L31</f>
        <v xml:space="preserve">Rika Setyaningsih, S.Pd. </v>
      </c>
      <c r="C155" s="294">
        <f t="shared" si="40"/>
        <v>3015135122</v>
      </c>
      <c r="D155" s="103">
        <f t="shared" si="40"/>
        <v>100000</v>
      </c>
      <c r="E155" s="105">
        <f t="shared" si="40"/>
        <v>1053500</v>
      </c>
      <c r="F155" s="105">
        <f t="shared" si="11"/>
        <v>1983295</v>
      </c>
      <c r="G155" s="105">
        <f t="shared" si="12"/>
        <v>829795</v>
      </c>
      <c r="I155" t="s">
        <v>432</v>
      </c>
      <c r="L155" s="296">
        <v>10000000</v>
      </c>
    </row>
    <row r="156" spans="1:12" x14ac:dyDescent="0.25">
      <c r="A156" s="294">
        <f t="shared" si="9"/>
        <v>31</v>
      </c>
      <c r="B156" s="103" t="str">
        <f t="shared" ref="B156:E156" si="41">L32</f>
        <v>Khoiroma Aushof, S.Pd.</v>
      </c>
      <c r="C156" s="294">
        <f t="shared" si="41"/>
        <v>2015190046</v>
      </c>
      <c r="D156" s="103">
        <f t="shared" si="41"/>
        <v>0</v>
      </c>
      <c r="E156" s="105">
        <f t="shared" si="41"/>
        <v>0</v>
      </c>
      <c r="F156" s="105">
        <f t="shared" si="11"/>
        <v>2804600</v>
      </c>
      <c r="G156" s="105">
        <f t="shared" si="12"/>
        <v>2804600</v>
      </c>
      <c r="L156" s="296">
        <f>SUM(L149:L155)</f>
        <v>387359288</v>
      </c>
    </row>
    <row r="157" spans="1:12" x14ac:dyDescent="0.25">
      <c r="A157" s="294">
        <f t="shared" si="9"/>
        <v>32</v>
      </c>
      <c r="B157" s="103" t="str">
        <f t="shared" ref="B157:E157" si="42">L33</f>
        <v xml:space="preserve">Nihlatillah, S.Pd. </v>
      </c>
      <c r="C157" s="294">
        <f t="shared" si="42"/>
        <v>3015118091</v>
      </c>
      <c r="D157" s="103">
        <f t="shared" si="42"/>
        <v>200000</v>
      </c>
      <c r="E157" s="105">
        <f t="shared" si="42"/>
        <v>1335000</v>
      </c>
      <c r="F157" s="105">
        <f t="shared" si="11"/>
        <v>2385513</v>
      </c>
      <c r="G157" s="105">
        <f t="shared" si="12"/>
        <v>850513</v>
      </c>
    </row>
    <row r="158" spans="1:12" x14ac:dyDescent="0.25">
      <c r="A158" s="294">
        <f t="shared" si="9"/>
        <v>33</v>
      </c>
      <c r="B158" s="103" t="str">
        <f t="shared" ref="B158:E158" si="43">L34</f>
        <v>HUSNUL KHOTIMAH, S.Pd.</v>
      </c>
      <c r="C158" s="294">
        <f t="shared" si="43"/>
        <v>2015258481</v>
      </c>
      <c r="D158" s="103">
        <f t="shared" si="43"/>
        <v>0</v>
      </c>
      <c r="E158" s="105">
        <f t="shared" si="43"/>
        <v>0</v>
      </c>
      <c r="F158" s="105">
        <f t="shared" si="11"/>
        <v>2255000</v>
      </c>
      <c r="G158" s="105">
        <f t="shared" si="12"/>
        <v>2255000</v>
      </c>
    </row>
    <row r="159" spans="1:12" x14ac:dyDescent="0.25">
      <c r="A159" s="294">
        <f t="shared" si="9"/>
        <v>34</v>
      </c>
      <c r="B159" s="103" t="str">
        <f t="shared" ref="B159:E159" si="44">L35</f>
        <v>Titin Safitri, S.Pd.</v>
      </c>
      <c r="C159" s="294" t="str">
        <f t="shared" si="44"/>
        <v>2068053687</v>
      </c>
      <c r="D159" s="103">
        <f t="shared" si="44"/>
        <v>0</v>
      </c>
      <c r="E159" s="105">
        <f t="shared" si="44"/>
        <v>0</v>
      </c>
      <c r="F159" s="105">
        <f t="shared" si="11"/>
        <v>2577313</v>
      </c>
      <c r="G159" s="105">
        <f t="shared" si="12"/>
        <v>2577313</v>
      </c>
    </row>
    <row r="160" spans="1:12" x14ac:dyDescent="0.25">
      <c r="A160" s="294">
        <f t="shared" si="9"/>
        <v>35</v>
      </c>
      <c r="B160" s="103" t="str">
        <f t="shared" ref="B160:E160" si="45">L36</f>
        <v>Shofi Inayah, S.Pd.</v>
      </c>
      <c r="C160" s="294">
        <f t="shared" si="45"/>
        <v>2015057621</v>
      </c>
      <c r="D160" s="103">
        <f t="shared" si="45"/>
        <v>300000</v>
      </c>
      <c r="E160" s="105">
        <f t="shared" si="45"/>
        <v>1365500</v>
      </c>
      <c r="F160" s="105">
        <f t="shared" si="11"/>
        <v>1997313</v>
      </c>
      <c r="G160" s="105">
        <f t="shared" si="12"/>
        <v>331813</v>
      </c>
    </row>
    <row r="161" spans="1:7" x14ac:dyDescent="0.25">
      <c r="A161" s="294">
        <f t="shared" si="9"/>
        <v>36</v>
      </c>
      <c r="B161" s="103" t="str">
        <f t="shared" ref="B161:E161" si="46">L37</f>
        <v>Mariyatu Ulfa, S.Pd.</v>
      </c>
      <c r="C161" s="294">
        <f t="shared" si="46"/>
        <v>3015117957</v>
      </c>
      <c r="D161" s="103">
        <f t="shared" si="46"/>
        <v>200000</v>
      </c>
      <c r="E161" s="105">
        <f t="shared" si="46"/>
        <v>1335000</v>
      </c>
      <c r="F161" s="105">
        <f t="shared" si="11"/>
        <v>2643877</v>
      </c>
      <c r="G161" s="105">
        <f t="shared" si="12"/>
        <v>1108877</v>
      </c>
    </row>
    <row r="162" spans="1:7" x14ac:dyDescent="0.25">
      <c r="A162" s="294">
        <f t="shared" si="9"/>
        <v>37</v>
      </c>
      <c r="B162" s="103" t="str">
        <f t="shared" ref="B162:E162" si="47">L38</f>
        <v>Faridah, M.Pd.</v>
      </c>
      <c r="C162" s="294">
        <f t="shared" si="47"/>
        <v>3015118449</v>
      </c>
      <c r="D162" s="103">
        <f t="shared" si="47"/>
        <v>200000</v>
      </c>
      <c r="E162" s="105">
        <f t="shared" si="47"/>
        <v>0</v>
      </c>
      <c r="F162" s="105">
        <f t="shared" si="11"/>
        <v>2653913</v>
      </c>
      <c r="G162" s="105">
        <f t="shared" si="12"/>
        <v>2453913</v>
      </c>
    </row>
    <row r="163" spans="1:7" x14ac:dyDescent="0.25">
      <c r="A163" s="294">
        <f t="shared" si="9"/>
        <v>38</v>
      </c>
      <c r="B163" s="103" t="str">
        <f t="shared" ref="B163:E163" si="48">L39</f>
        <v xml:space="preserve">Faiz Luzmi, S.Pd. </v>
      </c>
      <c r="C163" s="294">
        <f t="shared" si="48"/>
        <v>3093118773</v>
      </c>
      <c r="D163" s="103">
        <f t="shared" si="48"/>
        <v>100000</v>
      </c>
      <c r="E163" s="105">
        <f t="shared" si="48"/>
        <v>0</v>
      </c>
      <c r="F163" s="105">
        <f t="shared" si="11"/>
        <v>2645491</v>
      </c>
      <c r="G163" s="105">
        <f t="shared" si="12"/>
        <v>2545491</v>
      </c>
    </row>
    <row r="164" spans="1:7" x14ac:dyDescent="0.25">
      <c r="A164" s="294">
        <f t="shared" si="9"/>
        <v>39</v>
      </c>
      <c r="B164" s="103" t="str">
        <f t="shared" ref="B164:E164" si="49">L40</f>
        <v>M.A Izzuddin Jazuli, S.Ag</v>
      </c>
      <c r="C164" s="294">
        <f t="shared" si="49"/>
        <v>2068064310</v>
      </c>
      <c r="D164" s="103">
        <f t="shared" si="49"/>
        <v>0</v>
      </c>
      <c r="E164" s="105">
        <f t="shared" si="49"/>
        <v>0</v>
      </c>
      <c r="F164" s="105">
        <f t="shared" si="11"/>
        <v>2759600</v>
      </c>
      <c r="G164" s="105">
        <f t="shared" si="12"/>
        <v>2759600</v>
      </c>
    </row>
    <row r="165" spans="1:7" x14ac:dyDescent="0.25">
      <c r="A165" s="294">
        <f t="shared" si="9"/>
        <v>40</v>
      </c>
      <c r="B165" s="103" t="str">
        <f t="shared" ref="B165:E165" si="50">L41</f>
        <v xml:space="preserve">Novia Aristyana, S.Pd. </v>
      </c>
      <c r="C165" s="294">
        <f t="shared" si="50"/>
        <v>3015118082</v>
      </c>
      <c r="D165" s="103">
        <f t="shared" si="50"/>
        <v>0</v>
      </c>
      <c r="E165" s="105">
        <f t="shared" si="50"/>
        <v>1365500</v>
      </c>
      <c r="F165" s="105">
        <f t="shared" si="11"/>
        <v>2050095</v>
      </c>
      <c r="G165" s="105">
        <f t="shared" si="12"/>
        <v>684595</v>
      </c>
    </row>
    <row r="166" spans="1:7" x14ac:dyDescent="0.25">
      <c r="A166" s="294">
        <f t="shared" si="9"/>
        <v>41</v>
      </c>
      <c r="B166" s="103" t="str">
        <f t="shared" ref="B166:E166" si="51">L42</f>
        <v>Ngatriatun, S.Pd.</v>
      </c>
      <c r="C166" s="294">
        <f t="shared" si="51"/>
        <v>3015118104</v>
      </c>
      <c r="D166" s="103">
        <f t="shared" si="51"/>
        <v>0</v>
      </c>
      <c r="E166" s="105">
        <f t="shared" si="51"/>
        <v>1335000</v>
      </c>
      <c r="F166" s="105">
        <f t="shared" si="11"/>
        <v>2697495</v>
      </c>
      <c r="G166" s="105">
        <f t="shared" si="12"/>
        <v>1362495</v>
      </c>
    </row>
    <row r="167" spans="1:7" x14ac:dyDescent="0.25">
      <c r="A167" s="294">
        <f t="shared" si="9"/>
        <v>42</v>
      </c>
      <c r="B167" s="103" t="str">
        <f t="shared" ref="B167:E167" si="52">L43</f>
        <v>Ernawati, M.Pd.</v>
      </c>
      <c r="C167" s="294">
        <f t="shared" si="52"/>
        <v>2015057559</v>
      </c>
      <c r="D167" s="103">
        <f t="shared" si="52"/>
        <v>200000</v>
      </c>
      <c r="E167" s="105">
        <f t="shared" si="52"/>
        <v>1335000</v>
      </c>
      <c r="F167" s="105">
        <f t="shared" si="11"/>
        <v>2242004</v>
      </c>
      <c r="G167" s="105">
        <f t="shared" si="12"/>
        <v>707004</v>
      </c>
    </row>
    <row r="168" spans="1:7" x14ac:dyDescent="0.25">
      <c r="A168" s="294">
        <f t="shared" si="9"/>
        <v>43</v>
      </c>
      <c r="B168" s="103" t="str">
        <f t="shared" ref="B168:E168" si="53">L44</f>
        <v xml:space="preserve">Layla Qodriyyana, S.Pd. </v>
      </c>
      <c r="C168" s="294">
        <f t="shared" si="53"/>
        <v>3015118147</v>
      </c>
      <c r="D168" s="103">
        <f t="shared" si="53"/>
        <v>200000</v>
      </c>
      <c r="E168" s="105">
        <f t="shared" si="53"/>
        <v>1335000</v>
      </c>
      <c r="F168" s="105">
        <f t="shared" si="11"/>
        <v>2846513</v>
      </c>
      <c r="G168" s="105">
        <f t="shared" si="12"/>
        <v>1311513</v>
      </c>
    </row>
    <row r="169" spans="1:7" x14ac:dyDescent="0.25">
      <c r="A169" s="294">
        <f t="shared" si="9"/>
        <v>44</v>
      </c>
      <c r="B169" s="103" t="str">
        <f t="shared" ref="B169:E169" si="54">L45</f>
        <v xml:space="preserve">Nur Janah, S.Pd. </v>
      </c>
      <c r="C169" s="294">
        <f t="shared" si="54"/>
        <v>3015117973</v>
      </c>
      <c r="D169" s="103">
        <f t="shared" si="54"/>
        <v>0</v>
      </c>
      <c r="E169" s="105">
        <f t="shared" si="54"/>
        <v>1365500</v>
      </c>
      <c r="F169" s="105">
        <f t="shared" si="11"/>
        <v>1915713</v>
      </c>
      <c r="G169" s="105">
        <f t="shared" si="12"/>
        <v>550213</v>
      </c>
    </row>
    <row r="170" spans="1:7" x14ac:dyDescent="0.25">
      <c r="A170" s="294">
        <f t="shared" si="9"/>
        <v>45</v>
      </c>
      <c r="B170" s="103" t="str">
        <f t="shared" ref="B170:E170" si="55">L46</f>
        <v>Atana Ridhoka, Lc.</v>
      </c>
      <c r="C170" s="294">
        <f t="shared" si="55"/>
        <v>3015219989</v>
      </c>
      <c r="D170" s="103">
        <f t="shared" si="55"/>
        <v>0</v>
      </c>
      <c r="E170" s="105">
        <f t="shared" si="55"/>
        <v>0</v>
      </c>
      <c r="F170" s="105">
        <f t="shared" si="11"/>
        <v>2718800</v>
      </c>
      <c r="G170" s="105">
        <f t="shared" si="12"/>
        <v>2718800</v>
      </c>
    </row>
    <row r="171" spans="1:7" x14ac:dyDescent="0.25">
      <c r="A171" s="294">
        <f t="shared" si="9"/>
        <v>46</v>
      </c>
      <c r="B171" s="103" t="str">
        <f t="shared" ref="B171:E171" si="56">L47</f>
        <v>Sugiyono/Sudarsono</v>
      </c>
      <c r="C171" s="294">
        <f t="shared" si="56"/>
        <v>3015122390</v>
      </c>
      <c r="D171" s="103">
        <f t="shared" si="56"/>
        <v>0</v>
      </c>
      <c r="E171" s="105">
        <f t="shared" si="56"/>
        <v>0</v>
      </c>
      <c r="F171" s="105">
        <f t="shared" si="11"/>
        <v>1106213</v>
      </c>
      <c r="G171" s="105">
        <f t="shared" si="12"/>
        <v>1106213</v>
      </c>
    </row>
    <row r="172" spans="1:7" x14ac:dyDescent="0.25">
      <c r="A172" s="294">
        <f t="shared" si="9"/>
        <v>47</v>
      </c>
      <c r="B172" s="103" t="str">
        <f t="shared" ref="B172:E172" si="57">L48</f>
        <v>Mishbahul Ulum, S.Pd.I</v>
      </c>
      <c r="C172" s="294">
        <f t="shared" si="57"/>
        <v>3015118112</v>
      </c>
      <c r="D172" s="103">
        <f t="shared" si="57"/>
        <v>0</v>
      </c>
      <c r="E172" s="105">
        <f t="shared" si="57"/>
        <v>996500</v>
      </c>
      <c r="F172" s="105">
        <f t="shared" si="11"/>
        <v>2177495</v>
      </c>
      <c r="G172" s="105">
        <f t="shared" si="12"/>
        <v>1180995</v>
      </c>
    </row>
    <row r="173" spans="1:7" x14ac:dyDescent="0.25">
      <c r="A173" s="294">
        <f t="shared" si="9"/>
        <v>48</v>
      </c>
      <c r="B173" s="103" t="str">
        <f t="shared" ref="B173:E173" si="58">L49</f>
        <v>Setiawan</v>
      </c>
      <c r="C173" s="294">
        <f t="shared" si="58"/>
        <v>2015143820</v>
      </c>
      <c r="D173" s="103">
        <f t="shared" si="58"/>
        <v>0</v>
      </c>
      <c r="E173" s="105">
        <f t="shared" si="58"/>
        <v>779000</v>
      </c>
      <c r="F173" s="105">
        <f t="shared" si="11"/>
        <v>1515543</v>
      </c>
      <c r="G173" s="105">
        <f t="shared" si="12"/>
        <v>736543</v>
      </c>
    </row>
    <row r="174" spans="1:7" x14ac:dyDescent="0.25">
      <c r="A174" s="294">
        <f t="shared" si="9"/>
        <v>49</v>
      </c>
      <c r="B174" s="103" t="str">
        <f t="shared" ref="B174:E174" si="59">L50</f>
        <v>Isniah</v>
      </c>
      <c r="C174" s="294">
        <f t="shared" si="59"/>
        <v>2119024849</v>
      </c>
      <c r="D174" s="103">
        <f t="shared" si="59"/>
        <v>50000</v>
      </c>
      <c r="E174" s="105">
        <f t="shared" si="59"/>
        <v>556500</v>
      </c>
      <c r="F174" s="105">
        <f t="shared" si="11"/>
        <v>1578922</v>
      </c>
      <c r="G174" s="105">
        <f t="shared" si="12"/>
        <v>972422</v>
      </c>
    </row>
    <row r="175" spans="1:7" x14ac:dyDescent="0.25">
      <c r="A175" s="294">
        <f t="shared" si="9"/>
        <v>50</v>
      </c>
      <c r="B175" s="103" t="str">
        <f t="shared" ref="B175:E175" si="60">L51</f>
        <v>Sholikul Hadi</v>
      </c>
      <c r="C175" s="294">
        <f t="shared" si="60"/>
        <v>3015134517</v>
      </c>
      <c r="D175" s="103">
        <f t="shared" si="60"/>
        <v>0</v>
      </c>
      <c r="E175" s="105">
        <f t="shared" si="60"/>
        <v>0</v>
      </c>
      <c r="F175" s="105">
        <f t="shared" si="11"/>
        <v>1386213</v>
      </c>
      <c r="G175" s="105">
        <f t="shared" si="12"/>
        <v>1386213</v>
      </c>
    </row>
    <row r="176" spans="1:7" x14ac:dyDescent="0.25">
      <c r="A176" s="294">
        <f t="shared" si="9"/>
        <v>51</v>
      </c>
      <c r="B176" s="103" t="str">
        <f t="shared" ref="B176:E176" si="61">L52</f>
        <v>Sutarno</v>
      </c>
      <c r="C176" s="294">
        <f t="shared" si="61"/>
        <v>3015134541</v>
      </c>
      <c r="D176" s="103">
        <f t="shared" si="61"/>
        <v>0</v>
      </c>
      <c r="E176" s="105">
        <f t="shared" si="61"/>
        <v>395500</v>
      </c>
      <c r="F176" s="105">
        <f t="shared" si="11"/>
        <v>1470104</v>
      </c>
      <c r="G176" s="105">
        <f t="shared" si="12"/>
        <v>1074604</v>
      </c>
    </row>
    <row r="177" spans="1:7" x14ac:dyDescent="0.25">
      <c r="A177" s="294">
        <f t="shared" si="9"/>
        <v>52</v>
      </c>
      <c r="B177" s="103" t="str">
        <f t="shared" ref="B177:E177" si="62">L53</f>
        <v>Purniawan</v>
      </c>
      <c r="C177" s="294">
        <f t="shared" si="62"/>
        <v>2015144125</v>
      </c>
      <c r="D177" s="103">
        <f t="shared" si="62"/>
        <v>0</v>
      </c>
      <c r="E177" s="105">
        <f t="shared" si="62"/>
        <v>0</v>
      </c>
      <c r="F177" s="105">
        <f t="shared" si="11"/>
        <v>1572100</v>
      </c>
      <c r="G177" s="105">
        <f t="shared" si="12"/>
        <v>1572100</v>
      </c>
    </row>
    <row r="178" spans="1:7" x14ac:dyDescent="0.25">
      <c r="A178" s="294">
        <f t="shared" si="9"/>
        <v>53</v>
      </c>
      <c r="B178" s="103" t="str">
        <f t="shared" ref="B178:E178" si="63">L54</f>
        <v>Andi Hermawan</v>
      </c>
      <c r="C178" s="294">
        <f t="shared" si="63"/>
        <v>2015144133</v>
      </c>
      <c r="D178" s="103">
        <f t="shared" si="63"/>
        <v>0</v>
      </c>
      <c r="E178" s="105">
        <f t="shared" si="63"/>
        <v>779000</v>
      </c>
      <c r="F178" s="105">
        <f t="shared" si="11"/>
        <v>1573191</v>
      </c>
      <c r="G178" s="105">
        <f t="shared" si="12"/>
        <v>794191</v>
      </c>
    </row>
    <row r="179" spans="1:7" x14ac:dyDescent="0.25">
      <c r="A179" s="294">
        <f t="shared" si="9"/>
        <v>54</v>
      </c>
      <c r="B179" s="103" t="str">
        <f t="shared" ref="B179:E179" si="64">L55</f>
        <v>Muhammad Iqbal Romadhon</v>
      </c>
      <c r="C179" s="294">
        <f t="shared" si="64"/>
        <v>2015144176</v>
      </c>
      <c r="D179" s="103">
        <f t="shared" si="64"/>
        <v>0</v>
      </c>
      <c r="E179" s="105">
        <f t="shared" si="64"/>
        <v>0</v>
      </c>
      <c r="F179" s="105">
        <f t="shared" si="11"/>
        <v>1508100</v>
      </c>
      <c r="G179" s="105">
        <f t="shared" si="12"/>
        <v>1508100</v>
      </c>
    </row>
    <row r="180" spans="1:7" x14ac:dyDescent="0.25">
      <c r="A180" s="294">
        <f t="shared" si="9"/>
        <v>55</v>
      </c>
      <c r="B180" s="103" t="str">
        <f t="shared" ref="B180:E180" si="65">L56</f>
        <v>Muhammad Miftakhur Rosyad</v>
      </c>
      <c r="C180" s="294">
        <f t="shared" si="65"/>
        <v>3015216408</v>
      </c>
      <c r="D180" s="103">
        <f t="shared" si="65"/>
        <v>0</v>
      </c>
      <c r="E180" s="105">
        <f t="shared" si="65"/>
        <v>0</v>
      </c>
      <c r="F180" s="105">
        <f t="shared" si="11"/>
        <v>1465200</v>
      </c>
      <c r="G180" s="105">
        <f t="shared" si="12"/>
        <v>1465200</v>
      </c>
    </row>
    <row r="181" spans="1:7" x14ac:dyDescent="0.25">
      <c r="A181" s="294">
        <f t="shared" si="9"/>
        <v>56</v>
      </c>
      <c r="B181" s="103" t="str">
        <f t="shared" ref="B181:E181" si="66">L57</f>
        <v>Aminatul Munawwaroh Al Hafidhoh</v>
      </c>
      <c r="C181" s="294">
        <f t="shared" si="66"/>
        <v>3015127766</v>
      </c>
      <c r="D181" s="103">
        <f t="shared" si="66"/>
        <v>0</v>
      </c>
      <c r="E181" s="105">
        <f t="shared" si="66"/>
        <v>0</v>
      </c>
      <c r="F181" s="105">
        <f t="shared" si="11"/>
        <v>2131513</v>
      </c>
      <c r="G181" s="105">
        <f t="shared" si="12"/>
        <v>2131513</v>
      </c>
    </row>
    <row r="182" spans="1:7" x14ac:dyDescent="0.25">
      <c r="A182" s="294">
        <f t="shared" si="9"/>
        <v>57</v>
      </c>
      <c r="B182" s="103" t="str">
        <f t="shared" ref="B182:E182" si="67">L58</f>
        <v>Mufrotul Ulum</v>
      </c>
      <c r="C182" s="294">
        <f t="shared" si="67"/>
        <v>3119043122</v>
      </c>
      <c r="D182" s="103">
        <f t="shared" si="67"/>
        <v>0</v>
      </c>
      <c r="E182" s="105">
        <f t="shared" si="67"/>
        <v>565000</v>
      </c>
      <c r="F182" s="105">
        <f t="shared" si="11"/>
        <v>1724891</v>
      </c>
      <c r="G182" s="105">
        <f t="shared" si="12"/>
        <v>1159891</v>
      </c>
    </row>
    <row r="183" spans="1:7" x14ac:dyDescent="0.25">
      <c r="A183" s="294">
        <f t="shared" si="9"/>
        <v>58</v>
      </c>
      <c r="B183" s="103" t="str">
        <f t="shared" ref="B183:E183" si="68">L59</f>
        <v>Nor Umaroh, S.Sy</v>
      </c>
      <c r="C183" s="294">
        <f t="shared" si="68"/>
        <v>3015118031</v>
      </c>
      <c r="D183" s="103">
        <f t="shared" si="68"/>
        <v>0</v>
      </c>
      <c r="E183" s="105">
        <f t="shared" si="68"/>
        <v>790500</v>
      </c>
      <c r="F183" s="105">
        <f t="shared" si="11"/>
        <v>1999691</v>
      </c>
      <c r="G183" s="105">
        <f t="shared" si="12"/>
        <v>1209191</v>
      </c>
    </row>
    <row r="184" spans="1:7" x14ac:dyDescent="0.25">
      <c r="A184" s="294">
        <f t="shared" si="9"/>
        <v>59</v>
      </c>
      <c r="B184" s="103" t="str">
        <f t="shared" ref="B184:E184" si="69">L60</f>
        <v>Umi Hanik</v>
      </c>
      <c r="C184" s="294">
        <f t="shared" si="69"/>
        <v>3015147597</v>
      </c>
      <c r="D184" s="103">
        <f t="shared" si="69"/>
        <v>0</v>
      </c>
      <c r="E184" s="105">
        <f t="shared" si="69"/>
        <v>0</v>
      </c>
      <c r="F184" s="105">
        <f t="shared" si="11"/>
        <v>2089600</v>
      </c>
      <c r="G184" s="105">
        <f t="shared" si="12"/>
        <v>2089600</v>
      </c>
    </row>
    <row r="185" spans="1:7" x14ac:dyDescent="0.25">
      <c r="A185" s="294">
        <f t="shared" si="9"/>
        <v>60</v>
      </c>
      <c r="B185" s="103" t="str">
        <f t="shared" ref="B185:E185" si="70">L61</f>
        <v>Wahyuti, Al Hafidhoh</v>
      </c>
      <c r="C185" s="294">
        <f t="shared" si="70"/>
        <v>3015146868</v>
      </c>
      <c r="D185" s="103">
        <f t="shared" si="70"/>
        <v>0</v>
      </c>
      <c r="E185" s="105">
        <f t="shared" si="70"/>
        <v>0</v>
      </c>
      <c r="F185" s="105">
        <f t="shared" si="11"/>
        <v>2026000</v>
      </c>
      <c r="G185" s="105">
        <f t="shared" si="12"/>
        <v>2026000</v>
      </c>
    </row>
    <row r="186" spans="1:7" x14ac:dyDescent="0.25">
      <c r="A186" s="294">
        <f t="shared" si="9"/>
        <v>61</v>
      </c>
      <c r="B186" s="103" t="str">
        <f t="shared" ref="B186:E186" si="71">L62</f>
        <v>Shoutul Hidayah Al Hafidhoh</v>
      </c>
      <c r="C186" s="294">
        <f t="shared" si="71"/>
        <v>2119022269</v>
      </c>
      <c r="D186" s="103">
        <f t="shared" si="71"/>
        <v>0</v>
      </c>
      <c r="E186" s="105">
        <f t="shared" si="71"/>
        <v>664500</v>
      </c>
      <c r="F186" s="105">
        <f t="shared" si="11"/>
        <v>2007022</v>
      </c>
      <c r="G186" s="105">
        <f t="shared" si="12"/>
        <v>1342522</v>
      </c>
    </row>
    <row r="187" spans="1:7" x14ac:dyDescent="0.25">
      <c r="A187" s="294">
        <f t="shared" si="9"/>
        <v>62</v>
      </c>
      <c r="B187" s="103" t="str">
        <f t="shared" ref="B187:E187" si="72">L63</f>
        <v>Alfi Syafa'atin Al Hafidhoh</v>
      </c>
      <c r="C187" s="294">
        <f t="shared" si="72"/>
        <v>2015153680</v>
      </c>
      <c r="D187" s="103">
        <f t="shared" si="72"/>
        <v>0</v>
      </c>
      <c r="E187" s="105">
        <f t="shared" si="72"/>
        <v>941500</v>
      </c>
      <c r="F187" s="105">
        <f t="shared" si="11"/>
        <v>2094000</v>
      </c>
      <c r="G187" s="105">
        <f t="shared" si="12"/>
        <v>1152500</v>
      </c>
    </row>
    <row r="188" spans="1:7" x14ac:dyDescent="0.25">
      <c r="A188" s="294">
        <f t="shared" si="9"/>
        <v>63</v>
      </c>
      <c r="B188" s="103" t="str">
        <f t="shared" ref="B188:E188" si="73">L64</f>
        <v>Ulya Nailus Saadah Al Hafidhoh</v>
      </c>
      <c r="C188" s="294">
        <f t="shared" si="73"/>
        <v>3119045036</v>
      </c>
      <c r="D188" s="103">
        <f t="shared" si="73"/>
        <v>0</v>
      </c>
      <c r="E188" s="105">
        <f t="shared" si="73"/>
        <v>0</v>
      </c>
      <c r="F188" s="105">
        <f t="shared" si="11"/>
        <v>1900000</v>
      </c>
      <c r="G188" s="105">
        <f t="shared" si="12"/>
        <v>1900000</v>
      </c>
    </row>
    <row r="189" spans="1:7" x14ac:dyDescent="0.25">
      <c r="A189" s="294">
        <f t="shared" si="9"/>
        <v>64</v>
      </c>
      <c r="B189" s="103" t="str">
        <f t="shared" ref="B189:E189" si="74">L65</f>
        <v>Rochmatun, S.Sy</v>
      </c>
      <c r="C189" s="294">
        <f t="shared" si="74"/>
        <v>2119033881</v>
      </c>
      <c r="D189" s="103">
        <f t="shared" si="74"/>
        <v>0</v>
      </c>
      <c r="E189" s="105">
        <f t="shared" si="74"/>
        <v>706500</v>
      </c>
      <c r="F189" s="105">
        <f t="shared" si="11"/>
        <v>2074200</v>
      </c>
      <c r="G189" s="105">
        <f t="shared" si="12"/>
        <v>1367700</v>
      </c>
    </row>
    <row r="190" spans="1:7" x14ac:dyDescent="0.25">
      <c r="A190" s="294">
        <f t="shared" si="9"/>
        <v>65</v>
      </c>
      <c r="B190" s="103" t="str">
        <f t="shared" ref="B190:E190" si="75">L66</f>
        <v>Zeni Nur Lathifah, S.Ag Al Hafidhoh</v>
      </c>
      <c r="C190" s="294">
        <f t="shared" si="75"/>
        <v>2015168997</v>
      </c>
      <c r="D190" s="103">
        <f t="shared" si="75"/>
        <v>0</v>
      </c>
      <c r="E190" s="105">
        <f t="shared" si="75"/>
        <v>790500</v>
      </c>
      <c r="F190" s="105">
        <f t="shared" si="11"/>
        <v>2170000</v>
      </c>
      <c r="G190" s="105">
        <f t="shared" si="12"/>
        <v>1379500</v>
      </c>
    </row>
    <row r="191" spans="1:7" x14ac:dyDescent="0.25">
      <c r="A191" s="294">
        <f t="shared" ref="A191:A242" si="76">K67</f>
        <v>66</v>
      </c>
      <c r="B191" s="103" t="str">
        <f t="shared" ref="B191:E191" si="77">L67</f>
        <v>M. Zaim Darojat, S.Pd Al hafidz</v>
      </c>
      <c r="C191" s="294">
        <f t="shared" si="77"/>
        <v>2015168971</v>
      </c>
      <c r="D191" s="103">
        <f t="shared" si="77"/>
        <v>0</v>
      </c>
      <c r="E191" s="105">
        <f t="shared" si="77"/>
        <v>0</v>
      </c>
      <c r="F191" s="105">
        <f t="shared" ref="F191:F242" si="78">D191+E191+G191</f>
        <v>2104600</v>
      </c>
      <c r="G191" s="105">
        <f t="shared" ref="G191:G242" si="79">T67</f>
        <v>2104600</v>
      </c>
    </row>
    <row r="192" spans="1:7" x14ac:dyDescent="0.25">
      <c r="A192" s="294">
        <f t="shared" si="76"/>
        <v>67</v>
      </c>
      <c r="B192" s="103" t="str">
        <f t="shared" ref="B192:E192" si="80">L68</f>
        <v>A. Syehmi Samchan</v>
      </c>
      <c r="C192" s="294">
        <f t="shared" si="80"/>
        <v>2015168971</v>
      </c>
      <c r="D192" s="103">
        <f t="shared" si="80"/>
        <v>0</v>
      </c>
      <c r="E192" s="105">
        <f t="shared" si="80"/>
        <v>0</v>
      </c>
      <c r="F192" s="105">
        <f t="shared" si="78"/>
        <v>1804000</v>
      </c>
      <c r="G192" s="105">
        <f t="shared" si="79"/>
        <v>1804000</v>
      </c>
    </row>
    <row r="193" spans="1:7" x14ac:dyDescent="0.25">
      <c r="A193" s="294">
        <f t="shared" si="76"/>
        <v>68</v>
      </c>
      <c r="B193" s="103" t="str">
        <f t="shared" ref="B193:E193" si="81">L69</f>
        <v>Khotimatul Khusna, S.Pd.I</v>
      </c>
      <c r="C193" s="294">
        <f t="shared" si="81"/>
        <v>3015118155</v>
      </c>
      <c r="D193" s="103">
        <f t="shared" si="81"/>
        <v>0</v>
      </c>
      <c r="E193" s="105">
        <f t="shared" si="81"/>
        <v>0</v>
      </c>
      <c r="F193" s="105">
        <f t="shared" si="78"/>
        <v>0</v>
      </c>
      <c r="G193" s="105">
        <f t="shared" si="79"/>
        <v>0</v>
      </c>
    </row>
    <row r="194" spans="1:7" x14ac:dyDescent="0.25">
      <c r="A194" s="294">
        <f t="shared" si="76"/>
        <v>69</v>
      </c>
      <c r="B194" s="103" t="str">
        <f t="shared" ref="B194:E194" si="82">L70</f>
        <v>Zulfaa, S.Ag</v>
      </c>
      <c r="C194" s="294">
        <f t="shared" si="82"/>
        <v>3015146060</v>
      </c>
      <c r="D194" s="103">
        <f t="shared" si="82"/>
        <v>0</v>
      </c>
      <c r="E194" s="105">
        <f t="shared" si="82"/>
        <v>0</v>
      </c>
      <c r="F194" s="105">
        <f t="shared" si="78"/>
        <v>53500</v>
      </c>
      <c r="G194" s="105">
        <f t="shared" si="79"/>
        <v>53500</v>
      </c>
    </row>
    <row r="195" spans="1:7" x14ac:dyDescent="0.25">
      <c r="A195" s="294">
        <f t="shared" si="76"/>
        <v>70</v>
      </c>
      <c r="B195" s="103" t="str">
        <f t="shared" ref="B195:E195" si="83">L71</f>
        <v>Abdulloh Hafidh</v>
      </c>
      <c r="C195" s="294">
        <f t="shared" si="83"/>
        <v>2015057346</v>
      </c>
      <c r="D195" s="103">
        <f t="shared" si="83"/>
        <v>0</v>
      </c>
      <c r="E195" s="105">
        <f t="shared" si="83"/>
        <v>0</v>
      </c>
      <c r="F195" s="105">
        <f t="shared" si="78"/>
        <v>400000</v>
      </c>
      <c r="G195" s="105">
        <f t="shared" si="79"/>
        <v>400000</v>
      </c>
    </row>
    <row r="196" spans="1:7" x14ac:dyDescent="0.25">
      <c r="A196" s="294">
        <f t="shared" si="76"/>
        <v>71</v>
      </c>
      <c r="B196" s="103" t="str">
        <f t="shared" ref="B196:E196" si="84">L72</f>
        <v>Hilyatus Syarif Al Hafidloh</v>
      </c>
      <c r="C196" s="294">
        <f t="shared" si="84"/>
        <v>2068066819</v>
      </c>
      <c r="D196" s="103">
        <f t="shared" si="84"/>
        <v>0</v>
      </c>
      <c r="E196" s="105">
        <f t="shared" si="84"/>
        <v>0</v>
      </c>
      <c r="F196" s="105">
        <f t="shared" si="78"/>
        <v>0</v>
      </c>
      <c r="G196" s="105">
        <f t="shared" si="79"/>
        <v>0</v>
      </c>
    </row>
    <row r="197" spans="1:7" x14ac:dyDescent="0.25">
      <c r="A197" s="294">
        <f t="shared" si="76"/>
        <v>72</v>
      </c>
      <c r="B197" s="103" t="str">
        <f t="shared" ref="B197:E197" si="85">L73</f>
        <v>Evana A'isatus Zahro, S.Pd</v>
      </c>
      <c r="C197" s="294">
        <f t="shared" si="85"/>
        <v>3015134533</v>
      </c>
      <c r="D197" s="103">
        <f t="shared" si="85"/>
        <v>0</v>
      </c>
      <c r="E197" s="105">
        <f t="shared" si="85"/>
        <v>1317500</v>
      </c>
      <c r="F197" s="105">
        <f t="shared" si="78"/>
        <v>2827095</v>
      </c>
      <c r="G197" s="105">
        <f t="shared" si="79"/>
        <v>1509595</v>
      </c>
    </row>
    <row r="198" spans="1:7" x14ac:dyDescent="0.25">
      <c r="A198" s="294">
        <f t="shared" si="76"/>
        <v>73</v>
      </c>
      <c r="B198" s="103" t="str">
        <f t="shared" ref="B198:E198" si="86">L74</f>
        <v>Isni Mafruchatun Nisa, S.Pd</v>
      </c>
      <c r="C198" s="294">
        <f t="shared" si="86"/>
        <v>3015168799</v>
      </c>
      <c r="D198" s="103">
        <f t="shared" si="86"/>
        <v>0</v>
      </c>
      <c r="E198" s="105">
        <f t="shared" si="86"/>
        <v>1329000</v>
      </c>
      <c r="F198" s="105">
        <f t="shared" si="78"/>
        <v>1918600</v>
      </c>
      <c r="G198" s="105">
        <f t="shared" si="79"/>
        <v>589600</v>
      </c>
    </row>
    <row r="199" spans="1:7" x14ac:dyDescent="0.25">
      <c r="A199" s="294">
        <f t="shared" si="76"/>
        <v>74</v>
      </c>
      <c r="B199" s="103" t="str">
        <f t="shared" ref="B199:E199" si="87">L75</f>
        <v>Ikhda Khoirotus Syifa, S.Pd</v>
      </c>
      <c r="C199" s="294">
        <f t="shared" si="87"/>
        <v>2015167338</v>
      </c>
      <c r="D199" s="103">
        <f t="shared" si="87"/>
        <v>0</v>
      </c>
      <c r="E199" s="105">
        <f t="shared" si="87"/>
        <v>0</v>
      </c>
      <c r="F199" s="105">
        <f t="shared" si="78"/>
        <v>2480491</v>
      </c>
      <c r="G199" s="105">
        <f t="shared" si="79"/>
        <v>2480491</v>
      </c>
    </row>
    <row r="200" spans="1:7" x14ac:dyDescent="0.25">
      <c r="A200" s="294">
        <f t="shared" si="76"/>
        <v>75</v>
      </c>
      <c r="B200" s="103" t="str">
        <f t="shared" ref="B200:E200" si="88">L76</f>
        <v>Siti Mardliyah, M.Pd</v>
      </c>
      <c r="C200" s="294">
        <f t="shared" si="88"/>
        <v>3015117965</v>
      </c>
      <c r="D200" s="103">
        <f t="shared" si="88"/>
        <v>0</v>
      </c>
      <c r="E200" s="105">
        <f t="shared" si="88"/>
        <v>0</v>
      </c>
      <c r="F200" s="105">
        <f t="shared" si="78"/>
        <v>3131004</v>
      </c>
      <c r="G200" s="105">
        <f t="shared" si="79"/>
        <v>3131004</v>
      </c>
    </row>
    <row r="201" spans="1:7" x14ac:dyDescent="0.25">
      <c r="A201" s="294">
        <f t="shared" si="76"/>
        <v>76</v>
      </c>
      <c r="B201" s="103" t="str">
        <f t="shared" ref="B201:E201" si="89">L77</f>
        <v>Anggun Monika Lestari, S.Pd</v>
      </c>
      <c r="C201" s="294">
        <f t="shared" si="89"/>
        <v>2119027210</v>
      </c>
      <c r="D201" s="103">
        <f t="shared" si="89"/>
        <v>100000</v>
      </c>
      <c r="E201" s="105">
        <f t="shared" si="89"/>
        <v>0</v>
      </c>
      <c r="F201" s="105">
        <f t="shared" si="78"/>
        <v>2243500</v>
      </c>
      <c r="G201" s="105">
        <f t="shared" si="79"/>
        <v>2143500</v>
      </c>
    </row>
    <row r="202" spans="1:7" x14ac:dyDescent="0.25">
      <c r="A202" s="294">
        <f t="shared" si="76"/>
        <v>77</v>
      </c>
      <c r="B202" s="103" t="str">
        <f t="shared" ref="B202:E202" si="90">L78</f>
        <v>Muhammad Wahyu Wibowo, S.Pd</v>
      </c>
      <c r="C202" s="294">
        <f t="shared" si="90"/>
        <v>2068061582</v>
      </c>
      <c r="D202" s="103">
        <f t="shared" si="90"/>
        <v>0</v>
      </c>
      <c r="E202" s="105">
        <f t="shared" si="90"/>
        <v>0</v>
      </c>
      <c r="F202" s="105">
        <f t="shared" si="78"/>
        <v>2677964</v>
      </c>
      <c r="G202" s="105">
        <f t="shared" si="79"/>
        <v>2677964</v>
      </c>
    </row>
    <row r="203" spans="1:7" x14ac:dyDescent="0.25">
      <c r="A203" s="294">
        <f t="shared" si="76"/>
        <v>78</v>
      </c>
      <c r="B203" s="103" t="str">
        <f t="shared" ref="B203:E203" si="91">L79</f>
        <v>Fajriyatuz Zahroh, S.Pd</v>
      </c>
      <c r="C203" s="294">
        <f t="shared" si="91"/>
        <v>2015141576</v>
      </c>
      <c r="D203" s="103">
        <f t="shared" si="91"/>
        <v>0</v>
      </c>
      <c r="E203" s="105">
        <f t="shared" si="91"/>
        <v>0</v>
      </c>
      <c r="F203" s="105">
        <f t="shared" si="78"/>
        <v>2790582</v>
      </c>
      <c r="G203" s="105">
        <f t="shared" si="79"/>
        <v>2790582</v>
      </c>
    </row>
    <row r="204" spans="1:7" x14ac:dyDescent="0.25">
      <c r="A204" s="294">
        <f t="shared" si="76"/>
        <v>79</v>
      </c>
      <c r="B204" s="103" t="str">
        <f t="shared" ref="B204:E204" si="92">L80</f>
        <v>Ratna Prasetyowati, S.Pd</v>
      </c>
      <c r="C204" s="294">
        <f t="shared" si="92"/>
        <v>3015168772</v>
      </c>
      <c r="D204" s="103">
        <f t="shared" si="92"/>
        <v>0</v>
      </c>
      <c r="E204" s="105">
        <f t="shared" si="92"/>
        <v>0</v>
      </c>
      <c r="F204" s="105">
        <f t="shared" si="78"/>
        <v>2425891</v>
      </c>
      <c r="G204" s="105">
        <f t="shared" si="79"/>
        <v>2425891</v>
      </c>
    </row>
    <row r="205" spans="1:7" x14ac:dyDescent="0.25">
      <c r="A205" s="294">
        <f t="shared" si="76"/>
        <v>80</v>
      </c>
      <c r="B205" s="103" t="str">
        <f t="shared" ref="B205:E205" si="93">L81</f>
        <v>Ani Nur Wasiah, M.Pd</v>
      </c>
      <c r="C205" s="294">
        <f t="shared" si="93"/>
        <v>2015190089</v>
      </c>
      <c r="D205" s="103">
        <f t="shared" si="93"/>
        <v>0</v>
      </c>
      <c r="E205" s="105">
        <f t="shared" si="93"/>
        <v>0</v>
      </c>
      <c r="F205" s="105">
        <f t="shared" si="78"/>
        <v>3111600</v>
      </c>
      <c r="G205" s="105">
        <f t="shared" si="79"/>
        <v>3111600</v>
      </c>
    </row>
    <row r="206" spans="1:7" x14ac:dyDescent="0.25">
      <c r="A206" s="294">
        <f t="shared" si="76"/>
        <v>81</v>
      </c>
      <c r="B206" s="103" t="str">
        <f t="shared" ref="B206:E206" si="94">L82</f>
        <v>Nurul Hidayatur Rohmah, S.Pd</v>
      </c>
      <c r="C206" s="294">
        <f t="shared" si="94"/>
        <v>2015190119</v>
      </c>
      <c r="D206" s="103">
        <f t="shared" si="94"/>
        <v>0</v>
      </c>
      <c r="E206" s="105">
        <f t="shared" si="94"/>
        <v>0</v>
      </c>
      <c r="F206" s="105">
        <f t="shared" si="78"/>
        <v>2965200</v>
      </c>
      <c r="G206" s="105">
        <f t="shared" si="79"/>
        <v>2965200</v>
      </c>
    </row>
    <row r="207" spans="1:7" x14ac:dyDescent="0.25">
      <c r="A207" s="294">
        <f t="shared" si="76"/>
        <v>82</v>
      </c>
      <c r="B207" s="103" t="str">
        <f t="shared" ref="B207:E207" si="95">L83</f>
        <v>Fadzel Muhammad Rifandi, S.Pd</v>
      </c>
      <c r="C207" s="294">
        <f t="shared" si="95"/>
        <v>2119064646</v>
      </c>
      <c r="D207" s="103">
        <f t="shared" si="95"/>
        <v>0</v>
      </c>
      <c r="E207" s="105">
        <f t="shared" si="95"/>
        <v>0</v>
      </c>
      <c r="F207" s="105">
        <f t="shared" si="78"/>
        <v>2025600</v>
      </c>
      <c r="G207" s="105">
        <f t="shared" si="79"/>
        <v>2025600</v>
      </c>
    </row>
    <row r="208" spans="1:7" x14ac:dyDescent="0.25">
      <c r="A208" s="294">
        <f t="shared" si="76"/>
        <v>83</v>
      </c>
      <c r="B208" s="103" t="str">
        <f t="shared" ref="B208:E208" si="96">L84</f>
        <v>Sekar Ayu Pamungkas</v>
      </c>
      <c r="C208" s="294">
        <f t="shared" si="96"/>
        <v>3015281129</v>
      </c>
      <c r="D208" s="103">
        <f t="shared" si="96"/>
        <v>0</v>
      </c>
      <c r="E208" s="105">
        <f t="shared" si="96"/>
        <v>0</v>
      </c>
      <c r="F208" s="105">
        <f t="shared" si="78"/>
        <v>2711000</v>
      </c>
      <c r="G208" s="105">
        <f t="shared" si="79"/>
        <v>2711000</v>
      </c>
    </row>
    <row r="209" spans="1:7" x14ac:dyDescent="0.25">
      <c r="A209" s="294">
        <f t="shared" si="76"/>
        <v>84</v>
      </c>
      <c r="B209" s="103" t="str">
        <f t="shared" ref="B209:E209" si="97">L85</f>
        <v>Heni Ari Hidayah, S.Pd</v>
      </c>
      <c r="C209" s="294">
        <f t="shared" si="97"/>
        <v>3015168756</v>
      </c>
      <c r="D209" s="103">
        <f t="shared" si="97"/>
        <v>100000</v>
      </c>
      <c r="E209" s="105">
        <f t="shared" si="97"/>
        <v>0</v>
      </c>
      <c r="F209" s="105">
        <f t="shared" si="78"/>
        <v>2965400</v>
      </c>
      <c r="G209" s="105">
        <f t="shared" si="79"/>
        <v>2865400</v>
      </c>
    </row>
    <row r="210" spans="1:7" x14ac:dyDescent="0.25">
      <c r="A210" s="294">
        <f t="shared" si="76"/>
        <v>85</v>
      </c>
      <c r="B210" s="103" t="str">
        <f t="shared" ref="B210:E210" si="98">L86</f>
        <v>Muhammad Abdul Karim, S.Pd</v>
      </c>
      <c r="C210" s="294">
        <f t="shared" si="98"/>
        <v>2093102081</v>
      </c>
      <c r="D210" s="103">
        <f t="shared" si="98"/>
        <v>0</v>
      </c>
      <c r="E210" s="105">
        <f t="shared" si="98"/>
        <v>0</v>
      </c>
      <c r="F210" s="105">
        <f t="shared" si="78"/>
        <v>2301000</v>
      </c>
      <c r="G210" s="105">
        <f t="shared" si="79"/>
        <v>2301000</v>
      </c>
    </row>
    <row r="211" spans="1:7" x14ac:dyDescent="0.25">
      <c r="A211" s="294">
        <f t="shared" si="76"/>
        <v>86</v>
      </c>
      <c r="B211" s="103" t="str">
        <f t="shared" ref="B211:E211" si="99">L87</f>
        <v>Hananingtyas Hapsari</v>
      </c>
      <c r="C211" s="294">
        <f t="shared" si="99"/>
        <v>3015118066</v>
      </c>
      <c r="D211" s="103">
        <f t="shared" si="99"/>
        <v>0</v>
      </c>
      <c r="E211" s="105">
        <f t="shared" si="99"/>
        <v>0</v>
      </c>
      <c r="F211" s="105">
        <f t="shared" si="78"/>
        <v>1977404</v>
      </c>
      <c r="G211" s="105">
        <f t="shared" si="79"/>
        <v>1977404</v>
      </c>
    </row>
    <row r="212" spans="1:7" x14ac:dyDescent="0.25">
      <c r="A212" s="294">
        <f t="shared" si="76"/>
        <v>87</v>
      </c>
      <c r="B212" s="103" t="str">
        <f t="shared" ref="B212:E212" si="100">L88</f>
        <v>Syafiun Nuha, S.Pd</v>
      </c>
      <c r="C212" s="294">
        <f t="shared" si="100"/>
        <v>2015227756</v>
      </c>
      <c r="D212" s="103">
        <f t="shared" si="100"/>
        <v>0</v>
      </c>
      <c r="E212" s="105">
        <f t="shared" si="100"/>
        <v>0</v>
      </c>
      <c r="F212" s="105">
        <f t="shared" si="78"/>
        <v>3001000</v>
      </c>
      <c r="G212" s="105">
        <f t="shared" si="79"/>
        <v>3001000</v>
      </c>
    </row>
    <row r="213" spans="1:7" x14ac:dyDescent="0.25">
      <c r="A213" s="294">
        <f t="shared" si="76"/>
        <v>88</v>
      </c>
      <c r="B213" s="103" t="str">
        <f t="shared" ref="B213:E213" si="101">L89</f>
        <v>Muhammad Misbahuddin Arif, S.Kom</v>
      </c>
      <c r="C213" s="294">
        <f t="shared" si="101"/>
        <v>3015169582</v>
      </c>
      <c r="D213" s="103">
        <f t="shared" si="101"/>
        <v>100000</v>
      </c>
      <c r="E213" s="105">
        <f t="shared" si="101"/>
        <v>0</v>
      </c>
      <c r="F213" s="105">
        <f t="shared" si="78"/>
        <v>2861913</v>
      </c>
      <c r="G213" s="105">
        <f t="shared" si="79"/>
        <v>2761913</v>
      </c>
    </row>
    <row r="214" spans="1:7" x14ac:dyDescent="0.25">
      <c r="A214" s="294">
        <f t="shared" si="76"/>
        <v>89</v>
      </c>
      <c r="B214" s="103" t="str">
        <f t="shared" ref="B214:E214" si="102">L90</f>
        <v>Harisatul Hidayati, S.Pd.I</v>
      </c>
      <c r="C214" s="294">
        <f t="shared" si="102"/>
        <v>3119056518</v>
      </c>
      <c r="D214" s="103">
        <f t="shared" si="102"/>
        <v>0</v>
      </c>
      <c r="E214" s="105">
        <f t="shared" si="102"/>
        <v>0</v>
      </c>
      <c r="F214" s="105">
        <f t="shared" si="78"/>
        <v>12300</v>
      </c>
      <c r="G214" s="105">
        <f t="shared" si="79"/>
        <v>12300</v>
      </c>
    </row>
    <row r="215" spans="1:7" x14ac:dyDescent="0.25">
      <c r="A215" s="294">
        <f t="shared" si="76"/>
        <v>90</v>
      </c>
      <c r="B215" s="103" t="str">
        <f t="shared" ref="B215:E215" si="103">L91</f>
        <v>Nilna Maulidatul Wafa</v>
      </c>
      <c r="C215" s="294">
        <f t="shared" si="103"/>
        <v>2068093522</v>
      </c>
      <c r="D215" s="103">
        <f t="shared" si="103"/>
        <v>0</v>
      </c>
      <c r="E215" s="105">
        <f t="shared" si="103"/>
        <v>0</v>
      </c>
      <c r="F215" s="105">
        <f t="shared" si="78"/>
        <v>0</v>
      </c>
      <c r="G215" s="105">
        <f t="shared" si="79"/>
        <v>0</v>
      </c>
    </row>
    <row r="216" spans="1:7" x14ac:dyDescent="0.25">
      <c r="A216" s="294">
        <f t="shared" si="76"/>
        <v>91</v>
      </c>
      <c r="B216" s="103" t="str">
        <f t="shared" ref="B216:E216" si="104">L92</f>
        <v>Fitrotul Hidayah, S.Pd</v>
      </c>
      <c r="C216" s="294">
        <f t="shared" si="104"/>
        <v>2015168385</v>
      </c>
      <c r="D216" s="103">
        <f t="shared" si="104"/>
        <v>0</v>
      </c>
      <c r="E216" s="105">
        <f t="shared" si="104"/>
        <v>0</v>
      </c>
      <c r="F216" s="105">
        <f t="shared" si="78"/>
        <v>0</v>
      </c>
      <c r="G216" s="105">
        <f t="shared" si="79"/>
        <v>0</v>
      </c>
    </row>
    <row r="217" spans="1:7" x14ac:dyDescent="0.25">
      <c r="A217" s="294">
        <f t="shared" si="76"/>
        <v>92</v>
      </c>
      <c r="B217" s="103" t="str">
        <f t="shared" ref="B217:E217" si="105">L93</f>
        <v>Zavira Ayu Listiyani</v>
      </c>
      <c r="C217" s="294">
        <f t="shared" si="105"/>
        <v>3015169981</v>
      </c>
      <c r="D217" s="103">
        <f t="shared" si="105"/>
        <v>0</v>
      </c>
      <c r="E217" s="105">
        <f t="shared" si="105"/>
        <v>779000</v>
      </c>
      <c r="F217" s="105">
        <f t="shared" si="78"/>
        <v>1688282</v>
      </c>
      <c r="G217" s="105">
        <f t="shared" si="79"/>
        <v>909282</v>
      </c>
    </row>
    <row r="218" spans="1:7" x14ac:dyDescent="0.25">
      <c r="A218" s="294">
        <f t="shared" si="76"/>
        <v>93</v>
      </c>
      <c r="B218" s="103" t="str">
        <f t="shared" ref="B218:E218" si="106">L94</f>
        <v>Ahmad Ridwan</v>
      </c>
      <c r="C218" s="294">
        <f t="shared" si="106"/>
        <v>2015144184</v>
      </c>
      <c r="D218" s="103">
        <f t="shared" si="106"/>
        <v>0</v>
      </c>
      <c r="E218" s="105">
        <f t="shared" si="106"/>
        <v>0</v>
      </c>
      <c r="F218" s="105">
        <f t="shared" si="78"/>
        <v>1537300</v>
      </c>
      <c r="G218" s="105">
        <f t="shared" si="79"/>
        <v>1537300</v>
      </c>
    </row>
    <row r="219" spans="1:7" x14ac:dyDescent="0.25">
      <c r="A219" s="294">
        <f t="shared" si="76"/>
        <v>94</v>
      </c>
      <c r="B219" s="103" t="str">
        <f t="shared" ref="B219:E219" si="107">L95</f>
        <v>Bahrul Ulum, S.Kom</v>
      </c>
      <c r="C219" s="294">
        <f t="shared" si="107"/>
        <v>2015190259</v>
      </c>
      <c r="D219" s="103">
        <f t="shared" si="107"/>
        <v>0</v>
      </c>
      <c r="E219" s="105">
        <f t="shared" si="107"/>
        <v>0</v>
      </c>
      <c r="F219" s="105">
        <f t="shared" si="78"/>
        <v>2039600</v>
      </c>
      <c r="G219" s="105">
        <f t="shared" si="79"/>
        <v>2039600</v>
      </c>
    </row>
    <row r="220" spans="1:7" x14ac:dyDescent="0.25">
      <c r="A220" s="294">
        <f t="shared" si="76"/>
        <v>95</v>
      </c>
      <c r="B220" s="103" t="str">
        <f t="shared" ref="B220:E220" si="108">L96</f>
        <v>Muhammad Khotim</v>
      </c>
      <c r="C220" s="294">
        <f t="shared" si="108"/>
        <v>2119067149</v>
      </c>
      <c r="D220" s="103">
        <f t="shared" si="108"/>
        <v>0</v>
      </c>
      <c r="E220" s="105">
        <f t="shared" si="108"/>
        <v>0</v>
      </c>
      <c r="F220" s="105">
        <f t="shared" si="78"/>
        <v>1625600</v>
      </c>
      <c r="G220" s="105">
        <f t="shared" si="79"/>
        <v>1625600</v>
      </c>
    </row>
    <row r="221" spans="1:7" x14ac:dyDescent="0.25">
      <c r="A221" s="294">
        <f t="shared" si="76"/>
        <v>96</v>
      </c>
      <c r="B221" s="103" t="str">
        <f t="shared" ref="B221:E221" si="109">L97</f>
        <v>Siswanto</v>
      </c>
      <c r="C221" s="294">
        <f t="shared" si="109"/>
        <v>3015286392</v>
      </c>
      <c r="D221" s="103">
        <f t="shared" si="109"/>
        <v>0</v>
      </c>
      <c r="E221" s="105">
        <f t="shared" si="109"/>
        <v>0</v>
      </c>
      <c r="F221" s="105">
        <f t="shared" si="78"/>
        <v>1347000</v>
      </c>
      <c r="G221" s="105">
        <f t="shared" si="79"/>
        <v>1347000</v>
      </c>
    </row>
    <row r="222" spans="1:7" x14ac:dyDescent="0.25">
      <c r="A222" s="294">
        <f t="shared" si="76"/>
        <v>97</v>
      </c>
      <c r="B222" s="103" t="str">
        <f t="shared" ref="B222:E222" si="110">L98</f>
        <v>Laila nur Annisa Agustina</v>
      </c>
      <c r="C222" s="294">
        <f t="shared" si="110"/>
        <v>3015286384</v>
      </c>
      <c r="D222" s="103">
        <f t="shared" si="110"/>
        <v>0</v>
      </c>
      <c r="E222" s="105">
        <f t="shared" si="110"/>
        <v>0</v>
      </c>
      <c r="F222" s="105">
        <f t="shared" si="78"/>
        <v>1229600</v>
      </c>
      <c r="G222" s="105">
        <f t="shared" si="79"/>
        <v>1229600</v>
      </c>
    </row>
    <row r="223" spans="1:7" x14ac:dyDescent="0.25">
      <c r="A223" s="294">
        <f t="shared" si="76"/>
        <v>98</v>
      </c>
      <c r="B223" s="103" t="str">
        <f t="shared" ref="B223:E223" si="111">L99</f>
        <v>Ust. Muh. Sabiq Baqiyyatullah Al Hafidl</v>
      </c>
      <c r="C223" s="294">
        <f t="shared" si="111"/>
        <v>2015144320</v>
      </c>
      <c r="D223" s="103">
        <f t="shared" si="111"/>
        <v>0</v>
      </c>
      <c r="E223" s="105">
        <f t="shared" si="111"/>
        <v>0</v>
      </c>
      <c r="F223" s="105">
        <f t="shared" si="78"/>
        <v>2428691</v>
      </c>
      <c r="G223" s="105">
        <f t="shared" si="79"/>
        <v>2428691</v>
      </c>
    </row>
    <row r="224" spans="1:7" x14ac:dyDescent="0.25">
      <c r="A224" s="294">
        <f t="shared" si="76"/>
        <v>99</v>
      </c>
      <c r="B224" s="103" t="str">
        <f t="shared" ref="B224:E224" si="112">L100</f>
        <v>Ust. Ulil Absor, S.Pd.I</v>
      </c>
      <c r="C224" s="294">
        <f t="shared" si="112"/>
        <v>2015168865</v>
      </c>
      <c r="D224" s="103">
        <f t="shared" si="112"/>
        <v>0</v>
      </c>
      <c r="E224" s="105">
        <f t="shared" si="112"/>
        <v>0</v>
      </c>
      <c r="F224" s="105">
        <f t="shared" si="78"/>
        <v>1658222</v>
      </c>
      <c r="G224" s="105">
        <f t="shared" si="79"/>
        <v>1658222</v>
      </c>
    </row>
    <row r="225" spans="1:7" x14ac:dyDescent="0.25">
      <c r="A225" s="294">
        <f t="shared" si="76"/>
        <v>100</v>
      </c>
      <c r="B225" s="103" t="str">
        <f t="shared" ref="B225:E225" si="113">L101</f>
        <v>Ust. Syukron Ali, S.Hum</v>
      </c>
      <c r="C225" s="294">
        <f t="shared" si="113"/>
        <v>2015178658</v>
      </c>
      <c r="D225" s="103">
        <f t="shared" si="113"/>
        <v>0</v>
      </c>
      <c r="E225" s="105">
        <f t="shared" si="113"/>
        <v>790500</v>
      </c>
      <c r="F225" s="105">
        <f t="shared" si="78"/>
        <v>2580022</v>
      </c>
      <c r="G225" s="105">
        <f t="shared" si="79"/>
        <v>1789522</v>
      </c>
    </row>
    <row r="226" spans="1:7" x14ac:dyDescent="0.25">
      <c r="A226" s="294">
        <f t="shared" si="76"/>
        <v>101</v>
      </c>
      <c r="B226" s="103" t="str">
        <f t="shared" ref="B226:E226" si="114">L102</f>
        <v>Ustdz. Siti Ruqoyah, S.Pd</v>
      </c>
      <c r="C226" s="294">
        <f t="shared" si="114"/>
        <v>3015209568</v>
      </c>
      <c r="D226" s="103">
        <f t="shared" si="114"/>
        <v>0</v>
      </c>
      <c r="E226" s="105">
        <f t="shared" si="114"/>
        <v>0</v>
      </c>
      <c r="F226" s="105">
        <f t="shared" si="78"/>
        <v>1878900</v>
      </c>
      <c r="G226" s="105">
        <f t="shared" si="79"/>
        <v>1878900</v>
      </c>
    </row>
    <row r="227" spans="1:7" x14ac:dyDescent="0.25">
      <c r="A227" s="294">
        <f t="shared" si="76"/>
        <v>102</v>
      </c>
      <c r="B227" s="103" t="str">
        <f t="shared" ref="B227:E227" si="115">L103</f>
        <v>Ust. Muhammad Syafi'ul Anam Al Hafidh</v>
      </c>
      <c r="C227" s="294">
        <f t="shared" si="115"/>
        <v>2015210241</v>
      </c>
      <c r="D227" s="103">
        <f t="shared" si="115"/>
        <v>0</v>
      </c>
      <c r="E227" s="105">
        <f t="shared" si="115"/>
        <v>0</v>
      </c>
      <c r="F227" s="105">
        <f t="shared" si="78"/>
        <v>2101000</v>
      </c>
      <c r="G227" s="105">
        <f t="shared" si="79"/>
        <v>2101000</v>
      </c>
    </row>
    <row r="228" spans="1:7" x14ac:dyDescent="0.25">
      <c r="A228" s="294">
        <f t="shared" si="76"/>
        <v>103</v>
      </c>
      <c r="B228" s="103" t="str">
        <f t="shared" ref="B228:E228" si="116">L104</f>
        <v>Ust. Firmansyah Maulana, SE</v>
      </c>
      <c r="C228" s="294">
        <f t="shared" si="116"/>
        <v>2093091828</v>
      </c>
      <c r="D228" s="103">
        <f t="shared" si="116"/>
        <v>0</v>
      </c>
      <c r="E228" s="105">
        <f t="shared" si="116"/>
        <v>0</v>
      </c>
      <c r="F228" s="105">
        <f t="shared" si="78"/>
        <v>2339200</v>
      </c>
      <c r="G228" s="105">
        <f t="shared" si="79"/>
        <v>2339200</v>
      </c>
    </row>
    <row r="229" spans="1:7" x14ac:dyDescent="0.25">
      <c r="A229" s="294">
        <f t="shared" si="76"/>
        <v>104</v>
      </c>
      <c r="B229" s="103" t="str">
        <f t="shared" ref="B229:E229" si="117">L105</f>
        <v>Ustdz. Hilyatus Syarif Al Hafidloh</v>
      </c>
      <c r="C229" s="294">
        <f t="shared" si="117"/>
        <v>2068066819</v>
      </c>
      <c r="D229" s="103">
        <f t="shared" si="117"/>
        <v>0</v>
      </c>
      <c r="E229" s="105">
        <f t="shared" si="117"/>
        <v>0</v>
      </c>
      <c r="F229" s="105">
        <f t="shared" si="78"/>
        <v>2139500</v>
      </c>
      <c r="G229" s="105">
        <f t="shared" si="79"/>
        <v>2139500</v>
      </c>
    </row>
    <row r="230" spans="1:7" x14ac:dyDescent="0.25">
      <c r="A230" s="294">
        <f t="shared" si="76"/>
        <v>105</v>
      </c>
      <c r="B230" s="103" t="str">
        <f t="shared" ref="B230:E230" si="118">L106</f>
        <v>Ustdz. Nailul Muna</v>
      </c>
      <c r="C230" s="294">
        <f t="shared" si="118"/>
        <v>3119078589</v>
      </c>
      <c r="D230" s="103">
        <f t="shared" si="118"/>
        <v>0</v>
      </c>
      <c r="E230" s="105">
        <f t="shared" si="118"/>
        <v>0</v>
      </c>
      <c r="F230" s="105">
        <f t="shared" si="78"/>
        <v>2015200</v>
      </c>
      <c r="G230" s="105">
        <f t="shared" si="79"/>
        <v>2015200</v>
      </c>
    </row>
    <row r="231" spans="1:7" x14ac:dyDescent="0.25">
      <c r="A231" s="294">
        <f t="shared" si="76"/>
        <v>106</v>
      </c>
      <c r="B231" s="103" t="str">
        <f t="shared" ref="B231:E231" si="119">L107</f>
        <v>Ust. M.Tijani Robert Kalthoum</v>
      </c>
      <c r="C231" s="294">
        <f t="shared" si="119"/>
        <v>2015227713</v>
      </c>
      <c r="D231" s="103">
        <f t="shared" si="119"/>
        <v>0</v>
      </c>
      <c r="E231" s="105">
        <f t="shared" si="119"/>
        <v>0</v>
      </c>
      <c r="F231" s="105">
        <f t="shared" si="78"/>
        <v>2057000</v>
      </c>
      <c r="G231" s="105">
        <f t="shared" si="79"/>
        <v>2057000</v>
      </c>
    </row>
    <row r="232" spans="1:7" x14ac:dyDescent="0.25">
      <c r="A232" s="294">
        <f t="shared" si="76"/>
        <v>107</v>
      </c>
      <c r="B232" s="103" t="str">
        <f t="shared" ref="B232:E232" si="120">L108</f>
        <v>Ustdz. Wardah Alfin Noer</v>
      </c>
      <c r="C232" s="294">
        <f t="shared" si="120"/>
        <v>2015227721</v>
      </c>
      <c r="D232" s="103">
        <f t="shared" si="120"/>
        <v>0</v>
      </c>
      <c r="E232" s="105">
        <f t="shared" si="120"/>
        <v>0</v>
      </c>
      <c r="F232" s="105">
        <f t="shared" si="78"/>
        <v>1896400</v>
      </c>
      <c r="G232" s="105">
        <f t="shared" si="79"/>
        <v>1896400</v>
      </c>
    </row>
    <row r="233" spans="1:7" x14ac:dyDescent="0.25">
      <c r="A233" s="294">
        <f t="shared" si="76"/>
        <v>108</v>
      </c>
      <c r="B233" s="103" t="str">
        <f t="shared" ref="B233:E233" si="121">L109</f>
        <v>Ahmad Muayyad</v>
      </c>
      <c r="C233" s="294">
        <f t="shared" si="121"/>
        <v>2015245002</v>
      </c>
      <c r="D233" s="103">
        <f t="shared" si="121"/>
        <v>0</v>
      </c>
      <c r="E233" s="105">
        <f t="shared" si="121"/>
        <v>0</v>
      </c>
      <c r="F233" s="105">
        <f t="shared" si="78"/>
        <v>1936000</v>
      </c>
      <c r="G233" s="105">
        <f t="shared" si="79"/>
        <v>1936000</v>
      </c>
    </row>
    <row r="234" spans="1:7" x14ac:dyDescent="0.25">
      <c r="A234" s="294">
        <f t="shared" si="76"/>
        <v>109</v>
      </c>
      <c r="B234" s="103" t="str">
        <f t="shared" ref="B234:E234" si="122">L110</f>
        <v>Nurul Shofiana</v>
      </c>
      <c r="C234" s="294">
        <f t="shared" si="122"/>
        <v>2068104958</v>
      </c>
      <c r="D234" s="103">
        <f t="shared" si="122"/>
        <v>0</v>
      </c>
      <c r="E234" s="105">
        <f t="shared" si="122"/>
        <v>0</v>
      </c>
      <c r="F234" s="105">
        <f t="shared" si="78"/>
        <v>2101000</v>
      </c>
      <c r="G234" s="105">
        <f t="shared" si="79"/>
        <v>2101000</v>
      </c>
    </row>
    <row r="235" spans="1:7" x14ac:dyDescent="0.25">
      <c r="A235" s="294">
        <f t="shared" si="76"/>
        <v>110</v>
      </c>
      <c r="B235" s="103" t="str">
        <f t="shared" ref="B235:E235" si="123">L111</f>
        <v>Ust. Hasan Bahauddin</v>
      </c>
      <c r="C235" s="294">
        <f t="shared" si="123"/>
        <v>2015193673</v>
      </c>
      <c r="D235" s="103">
        <f t="shared" si="123"/>
        <v>0</v>
      </c>
      <c r="E235" s="105">
        <f t="shared" si="123"/>
        <v>0</v>
      </c>
      <c r="F235" s="105">
        <f t="shared" si="78"/>
        <v>0</v>
      </c>
      <c r="G235" s="105">
        <f t="shared" si="79"/>
        <v>0</v>
      </c>
    </row>
    <row r="236" spans="1:7" x14ac:dyDescent="0.25">
      <c r="A236" s="294">
        <f t="shared" si="76"/>
        <v>111</v>
      </c>
      <c r="B236" s="103" t="str">
        <f t="shared" ref="B236:E236" si="124">L112</f>
        <v>Ust. Muh. Rojih Sibghotallah Al Hafidl</v>
      </c>
      <c r="C236" s="294">
        <f t="shared" si="124"/>
        <v>2015170762</v>
      </c>
      <c r="D236" s="103">
        <f t="shared" si="124"/>
        <v>0</v>
      </c>
      <c r="E236" s="105">
        <f t="shared" si="124"/>
        <v>0</v>
      </c>
      <c r="F236" s="105">
        <f t="shared" si="78"/>
        <v>0</v>
      </c>
      <c r="G236" s="105">
        <f t="shared" si="79"/>
        <v>0</v>
      </c>
    </row>
    <row r="237" spans="1:7" x14ac:dyDescent="0.25">
      <c r="A237" s="294">
        <f t="shared" si="76"/>
        <v>112</v>
      </c>
      <c r="B237" s="103" t="str">
        <f t="shared" ref="B237:E237" si="125">L113</f>
        <v>Ust. Kholilur Rohman Al Hafidl</v>
      </c>
      <c r="C237" s="294">
        <f t="shared" si="125"/>
        <v>2015000358</v>
      </c>
      <c r="D237" s="103">
        <f t="shared" si="125"/>
        <v>0</v>
      </c>
      <c r="E237" s="105">
        <f t="shared" si="125"/>
        <v>0</v>
      </c>
      <c r="F237" s="105">
        <f t="shared" si="78"/>
        <v>0</v>
      </c>
      <c r="G237" s="105">
        <f t="shared" si="79"/>
        <v>0</v>
      </c>
    </row>
    <row r="238" spans="1:7" x14ac:dyDescent="0.25">
      <c r="A238" s="294">
        <f t="shared" si="76"/>
        <v>113</v>
      </c>
      <c r="B238" s="103" t="str">
        <f t="shared" ref="B238:E238" si="126">L114</f>
        <v>Ust. Fatchurrohman</v>
      </c>
      <c r="C238" s="294">
        <f t="shared" si="126"/>
        <v>3015260679</v>
      </c>
      <c r="D238" s="103">
        <f t="shared" si="126"/>
        <v>0</v>
      </c>
      <c r="E238" s="105">
        <f t="shared" si="126"/>
        <v>0</v>
      </c>
      <c r="F238" s="105">
        <f t="shared" si="78"/>
        <v>0</v>
      </c>
      <c r="G238" s="105">
        <f t="shared" si="79"/>
        <v>0</v>
      </c>
    </row>
    <row r="239" spans="1:7" x14ac:dyDescent="0.25">
      <c r="A239" s="294">
        <f t="shared" si="76"/>
        <v>114</v>
      </c>
      <c r="B239" s="103" t="str">
        <f t="shared" ref="B239:E239" si="127">L115</f>
        <v>Hendry Setya Laksono, S.Pd.</v>
      </c>
      <c r="C239" s="294">
        <f t="shared" si="127"/>
        <v>3015128193</v>
      </c>
      <c r="D239" s="103">
        <f t="shared" si="127"/>
        <v>0</v>
      </c>
      <c r="E239" s="105">
        <f t="shared" si="127"/>
        <v>0</v>
      </c>
      <c r="F239" s="105">
        <f t="shared" si="78"/>
        <v>0</v>
      </c>
      <c r="G239" s="105">
        <f t="shared" si="79"/>
        <v>0</v>
      </c>
    </row>
    <row r="240" spans="1:7" x14ac:dyDescent="0.25">
      <c r="A240" s="294">
        <f t="shared" si="76"/>
        <v>115</v>
      </c>
      <c r="B240" s="103" t="str">
        <f t="shared" ref="B240:E240" si="128">L116</f>
        <v>Supardi</v>
      </c>
      <c r="C240" s="294">
        <f t="shared" si="128"/>
        <v>3119065428</v>
      </c>
      <c r="D240" s="103">
        <f t="shared" si="128"/>
        <v>0</v>
      </c>
      <c r="E240" s="105">
        <f t="shared" si="128"/>
        <v>0</v>
      </c>
      <c r="F240" s="105">
        <f t="shared" si="78"/>
        <v>996391</v>
      </c>
      <c r="G240" s="105">
        <f t="shared" si="79"/>
        <v>996391</v>
      </c>
    </row>
    <row r="241" spans="1:10" x14ac:dyDescent="0.25">
      <c r="A241" s="294">
        <f t="shared" si="76"/>
        <v>116</v>
      </c>
      <c r="B241" s="103" t="str">
        <f t="shared" ref="B241:E241" si="129">L117</f>
        <v>Eri Erviana S.Pd.</v>
      </c>
      <c r="C241" s="294">
        <f t="shared" si="129"/>
        <v>3093147218</v>
      </c>
      <c r="D241" s="103">
        <f t="shared" si="129"/>
        <v>0</v>
      </c>
      <c r="E241" s="105">
        <f t="shared" si="129"/>
        <v>0</v>
      </c>
      <c r="F241" s="105">
        <f t="shared" si="78"/>
        <v>1797500</v>
      </c>
      <c r="G241" s="105">
        <f t="shared" si="79"/>
        <v>1797500</v>
      </c>
      <c r="H241" s="2"/>
    </row>
    <row r="242" spans="1:10" x14ac:dyDescent="0.25">
      <c r="A242" s="294">
        <f t="shared" si="76"/>
        <v>117</v>
      </c>
      <c r="B242" s="103" t="str">
        <f t="shared" ref="B242:E242" si="130">L118</f>
        <v>Sri Rohmatun S.Pd.</v>
      </c>
      <c r="C242" s="294">
        <f t="shared" si="130"/>
        <v>3119059509</v>
      </c>
      <c r="D242" s="103">
        <f t="shared" si="130"/>
        <v>0</v>
      </c>
      <c r="E242" s="105">
        <f t="shared" si="130"/>
        <v>0</v>
      </c>
      <c r="F242" s="105">
        <f t="shared" si="78"/>
        <v>1893800</v>
      </c>
      <c r="G242" s="105">
        <f t="shared" si="79"/>
        <v>1893800</v>
      </c>
    </row>
    <row r="243" spans="1:10" x14ac:dyDescent="0.25">
      <c r="A243" s="103"/>
      <c r="B243" s="103"/>
      <c r="C243" s="103"/>
      <c r="D243" s="295">
        <f>SUM(D126:D242)</f>
        <v>4350000</v>
      </c>
      <c r="E243" s="105">
        <f>SUM(E126:E242)</f>
        <v>31677500</v>
      </c>
      <c r="F243" s="105">
        <f>SUM(F126:F242)</f>
        <v>231426422</v>
      </c>
      <c r="G243" s="105">
        <f>SUM(G126:G242)</f>
        <v>195398922</v>
      </c>
      <c r="H243" s="2"/>
    </row>
    <row r="245" spans="1:10" x14ac:dyDescent="0.25">
      <c r="F245" s="512" t="s">
        <v>489</v>
      </c>
      <c r="G245" s="164"/>
    </row>
    <row r="246" spans="1:10" x14ac:dyDescent="0.25">
      <c r="F246" s="164" t="s">
        <v>328</v>
      </c>
      <c r="G246" s="164"/>
      <c r="J246" s="297"/>
    </row>
    <row r="247" spans="1:10" x14ac:dyDescent="0.25">
      <c r="F247" s="164"/>
      <c r="G247" s="164"/>
      <c r="J247" s="2"/>
    </row>
    <row r="248" spans="1:10" x14ac:dyDescent="0.25">
      <c r="F248" s="164"/>
      <c r="G248" s="164"/>
    </row>
    <row r="249" spans="1:10" x14ac:dyDescent="0.25">
      <c r="F249" s="164"/>
      <c r="G249" s="164" t="s">
        <v>365</v>
      </c>
    </row>
    <row r="250" spans="1:10" x14ac:dyDescent="0.25">
      <c r="F250" s="164" t="s">
        <v>329</v>
      </c>
      <c r="G250" s="164"/>
    </row>
  </sheetData>
  <mergeCells count="2">
    <mergeCell ref="A122:G122"/>
    <mergeCell ref="A123:G123"/>
  </mergeCells>
  <phoneticPr fontId="51" type="noConversion"/>
  <printOptions horizontalCentered="1"/>
  <pageMargins left="0.7" right="0.7" top="0.75" bottom="0.75" header="0.3" footer="0.3"/>
  <pageSetup paperSize="10000" scale="7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CFC8-659A-495D-9A89-B4AB0E12718C}">
  <dimension ref="A1:J52"/>
  <sheetViews>
    <sheetView tabSelected="1" topLeftCell="A37" workbookViewId="0">
      <selection activeCell="B46" sqref="B46"/>
    </sheetView>
  </sheetViews>
  <sheetFormatPr defaultRowHeight="15" x14ac:dyDescent="0.25"/>
  <cols>
    <col min="1" max="1" width="17.7109375" customWidth="1"/>
    <col min="2" max="2" width="17.5703125" customWidth="1"/>
    <col min="3" max="3" width="16.7109375" customWidth="1"/>
    <col min="4" max="4" width="18" customWidth="1"/>
    <col min="5" max="5" width="14" customWidth="1"/>
    <col min="6" max="6" width="17" customWidth="1"/>
    <col min="9" max="9" width="14.7109375" customWidth="1"/>
    <col min="10" max="10" width="14.42578125" customWidth="1"/>
  </cols>
  <sheetData>
    <row r="1" spans="1:10" x14ac:dyDescent="0.25">
      <c r="A1" t="s">
        <v>518</v>
      </c>
      <c r="B1" t="s">
        <v>518</v>
      </c>
      <c r="C1" t="s">
        <v>519</v>
      </c>
      <c r="D1" t="s">
        <v>519</v>
      </c>
      <c r="I1" t="s">
        <v>514</v>
      </c>
      <c r="J1" s="296">
        <v>16000000</v>
      </c>
    </row>
    <row r="2" spans="1:10" x14ac:dyDescent="0.25">
      <c r="A2" t="s">
        <v>454</v>
      </c>
      <c r="B2" t="s">
        <v>455</v>
      </c>
      <c r="C2" t="s">
        <v>454</v>
      </c>
      <c r="D2" t="s">
        <v>455</v>
      </c>
      <c r="I2" t="s">
        <v>515</v>
      </c>
      <c r="J2" s="296">
        <v>5000000</v>
      </c>
    </row>
    <row r="3" spans="1:10" x14ac:dyDescent="0.25">
      <c r="A3" s="296">
        <v>100000000</v>
      </c>
      <c r="B3" s="296">
        <v>20000000</v>
      </c>
      <c r="C3" s="296">
        <v>1893831</v>
      </c>
      <c r="D3" s="296">
        <v>20000</v>
      </c>
      <c r="I3" t="s">
        <v>516</v>
      </c>
      <c r="J3" s="296">
        <v>9000000</v>
      </c>
    </row>
    <row r="4" spans="1:10" x14ac:dyDescent="0.25">
      <c r="A4" s="296">
        <v>43726500</v>
      </c>
      <c r="B4" s="296">
        <v>20000000</v>
      </c>
      <c r="C4" s="296">
        <v>696011</v>
      </c>
      <c r="D4" s="296">
        <v>143000</v>
      </c>
      <c r="I4" t="s">
        <v>517</v>
      </c>
      <c r="J4" s="296">
        <v>2000000</v>
      </c>
    </row>
    <row r="5" spans="1:10" x14ac:dyDescent="0.25">
      <c r="A5" s="296">
        <v>57000000</v>
      </c>
      <c r="B5" s="296">
        <v>5000000</v>
      </c>
      <c r="C5" s="296">
        <v>10744</v>
      </c>
      <c r="D5" s="296">
        <v>2500</v>
      </c>
      <c r="J5" s="296">
        <f>SUM(J1:J4)</f>
        <v>32000000</v>
      </c>
    </row>
    <row r="6" spans="1:10" x14ac:dyDescent="0.25">
      <c r="A6" s="296"/>
      <c r="B6" s="296">
        <v>20000000</v>
      </c>
      <c r="C6" s="296">
        <v>50000</v>
      </c>
      <c r="D6" s="296">
        <v>22500</v>
      </c>
    </row>
    <row r="7" spans="1:10" x14ac:dyDescent="0.25">
      <c r="A7" s="296">
        <v>4000000</v>
      </c>
      <c r="B7" s="296">
        <v>20000000</v>
      </c>
      <c r="C7" s="296">
        <v>67500</v>
      </c>
      <c r="D7" s="296">
        <v>50000</v>
      </c>
      <c r="F7" s="296"/>
    </row>
    <row r="8" spans="1:10" x14ac:dyDescent="0.25">
      <c r="A8" s="296">
        <v>3500000</v>
      </c>
      <c r="B8" s="296">
        <v>3085000</v>
      </c>
      <c r="C8" s="296">
        <v>760913</v>
      </c>
      <c r="D8" s="296">
        <v>100000</v>
      </c>
      <c r="F8" s="296"/>
    </row>
    <row r="9" spans="1:10" x14ac:dyDescent="0.25">
      <c r="A9" s="296">
        <v>27750000</v>
      </c>
      <c r="B9" s="296">
        <v>25000000</v>
      </c>
      <c r="C9" s="296">
        <v>3926</v>
      </c>
      <c r="D9" s="296">
        <v>100000</v>
      </c>
      <c r="F9" s="296"/>
    </row>
    <row r="10" spans="1:10" x14ac:dyDescent="0.25">
      <c r="A10" s="296">
        <v>11200000</v>
      </c>
      <c r="B10" s="296">
        <v>3500000</v>
      </c>
      <c r="C10" s="296">
        <v>10000</v>
      </c>
      <c r="D10" s="296">
        <v>100000</v>
      </c>
      <c r="F10" s="296"/>
    </row>
    <row r="11" spans="1:10" x14ac:dyDescent="0.25">
      <c r="A11" s="296">
        <f>SUM(A3:A10)</f>
        <v>247176500</v>
      </c>
      <c r="B11" s="296">
        <v>3500000</v>
      </c>
      <c r="C11" s="296">
        <f>SUM(C3:C10)</f>
        <v>3492925</v>
      </c>
      <c r="D11" s="296">
        <v>91000</v>
      </c>
      <c r="F11" s="296"/>
    </row>
    <row r="12" spans="1:10" x14ac:dyDescent="0.25">
      <c r="A12" s="296"/>
      <c r="B12" s="296">
        <v>500000</v>
      </c>
      <c r="C12" s="296"/>
      <c r="D12" s="296">
        <v>2500</v>
      </c>
      <c r="F12" s="296"/>
    </row>
    <row r="13" spans="1:10" x14ac:dyDescent="0.25">
      <c r="A13" s="296"/>
      <c r="B13" s="296">
        <v>25000000</v>
      </c>
      <c r="C13" s="296"/>
      <c r="D13" s="296">
        <v>123000</v>
      </c>
      <c r="F13" s="296"/>
    </row>
    <row r="14" spans="1:10" x14ac:dyDescent="0.25">
      <c r="B14" s="296">
        <v>250000</v>
      </c>
      <c r="C14" s="296"/>
      <c r="D14" s="296">
        <v>2500</v>
      </c>
      <c r="F14" s="296"/>
    </row>
    <row r="15" spans="1:10" x14ac:dyDescent="0.25">
      <c r="B15" s="296">
        <v>1600000</v>
      </c>
      <c r="C15" s="296"/>
      <c r="D15" s="296">
        <v>1500</v>
      </c>
      <c r="F15" s="296"/>
    </row>
    <row r="16" spans="1:10" x14ac:dyDescent="0.25">
      <c r="B16" s="296">
        <v>300000</v>
      </c>
      <c r="C16" s="296"/>
      <c r="D16" s="296">
        <v>100000</v>
      </c>
      <c r="F16" s="296"/>
    </row>
    <row r="17" spans="2:6" x14ac:dyDescent="0.25">
      <c r="B17" s="296">
        <v>25000000</v>
      </c>
      <c r="C17" s="296"/>
      <c r="D17" s="296">
        <v>462000</v>
      </c>
      <c r="F17" s="296"/>
    </row>
    <row r="18" spans="2:6" x14ac:dyDescent="0.25">
      <c r="B18" s="296">
        <v>12000000</v>
      </c>
      <c r="C18" s="296"/>
      <c r="D18" s="296">
        <v>2500</v>
      </c>
      <c r="F18" s="296"/>
    </row>
    <row r="19" spans="2:6" x14ac:dyDescent="0.25">
      <c r="B19" s="296">
        <v>422000</v>
      </c>
      <c r="C19" s="296"/>
      <c r="D19" s="296">
        <v>100000</v>
      </c>
      <c r="F19" s="296"/>
    </row>
    <row r="20" spans="2:6" x14ac:dyDescent="0.25">
      <c r="B20" s="296">
        <v>15050000</v>
      </c>
      <c r="C20" s="296"/>
      <c r="D20" s="296">
        <v>100000</v>
      </c>
      <c r="F20" s="296"/>
    </row>
    <row r="21" spans="2:6" x14ac:dyDescent="0.25">
      <c r="B21" s="296">
        <v>2000000</v>
      </c>
      <c r="C21" s="296"/>
      <c r="D21" s="296">
        <v>3000</v>
      </c>
    </row>
    <row r="22" spans="2:6" x14ac:dyDescent="0.25">
      <c r="B22" s="296">
        <v>1500000</v>
      </c>
      <c r="C22" s="296"/>
      <c r="D22" s="296">
        <v>27000</v>
      </c>
    </row>
    <row r="23" spans="2:6" x14ac:dyDescent="0.25">
      <c r="B23" s="296">
        <v>1000000</v>
      </c>
      <c r="C23" s="296"/>
      <c r="D23" s="296">
        <v>135000</v>
      </c>
    </row>
    <row r="24" spans="2:6" x14ac:dyDescent="0.25">
      <c r="B24" s="296">
        <v>5000000</v>
      </c>
      <c r="C24" s="296"/>
      <c r="D24" s="296">
        <v>2500</v>
      </c>
    </row>
    <row r="25" spans="2:6" x14ac:dyDescent="0.25">
      <c r="B25" s="296">
        <v>450000</v>
      </c>
      <c r="C25" s="296"/>
      <c r="D25" s="296">
        <v>7500</v>
      </c>
    </row>
    <row r="26" spans="2:6" x14ac:dyDescent="0.25">
      <c r="B26" s="296">
        <v>2500</v>
      </c>
      <c r="C26" s="296"/>
      <c r="D26" s="296">
        <v>500000</v>
      </c>
    </row>
    <row r="27" spans="2:6" x14ac:dyDescent="0.25">
      <c r="B27" s="296">
        <v>2381000</v>
      </c>
      <c r="C27" s="296"/>
      <c r="D27" s="296">
        <v>2500</v>
      </c>
    </row>
    <row r="28" spans="2:6" x14ac:dyDescent="0.25">
      <c r="B28" s="296">
        <v>14509000</v>
      </c>
      <c r="C28" s="296"/>
      <c r="D28" s="296">
        <v>2149</v>
      </c>
    </row>
    <row r="29" spans="2:6" x14ac:dyDescent="0.25">
      <c r="B29" s="296">
        <v>2500</v>
      </c>
      <c r="D29" s="296">
        <v>50000</v>
      </c>
    </row>
    <row r="30" spans="2:6" x14ac:dyDescent="0.25">
      <c r="B30" s="297">
        <v>1500000</v>
      </c>
      <c r="D30" s="296">
        <v>2500</v>
      </c>
    </row>
    <row r="31" spans="2:6" x14ac:dyDescent="0.25">
      <c r="B31" s="297">
        <v>7500</v>
      </c>
      <c r="D31" s="296">
        <v>50000</v>
      </c>
    </row>
    <row r="32" spans="2:6" x14ac:dyDescent="0.25">
      <c r="B32" s="297">
        <v>3910000</v>
      </c>
      <c r="D32" s="296">
        <v>352000</v>
      </c>
    </row>
    <row r="33" spans="2:4" x14ac:dyDescent="0.25">
      <c r="B33" s="297">
        <v>6500</v>
      </c>
      <c r="D33" s="296">
        <v>2500</v>
      </c>
    </row>
    <row r="34" spans="2:4" x14ac:dyDescent="0.25">
      <c r="B34" s="297">
        <v>4400000</v>
      </c>
      <c r="D34" s="296">
        <v>75000</v>
      </c>
    </row>
    <row r="35" spans="2:4" x14ac:dyDescent="0.25">
      <c r="B35" s="297">
        <v>6500</v>
      </c>
      <c r="D35" s="296">
        <v>1500</v>
      </c>
    </row>
    <row r="36" spans="2:4" x14ac:dyDescent="0.25">
      <c r="B36" s="297">
        <v>2420000</v>
      </c>
      <c r="D36" s="296">
        <v>100000</v>
      </c>
    </row>
    <row r="37" spans="2:4" x14ac:dyDescent="0.25">
      <c r="B37" s="297">
        <v>2500</v>
      </c>
      <c r="D37" s="296">
        <v>3000</v>
      </c>
    </row>
    <row r="38" spans="2:4" x14ac:dyDescent="0.25">
      <c r="B38" s="297">
        <v>2824000</v>
      </c>
      <c r="D38" s="297">
        <v>100000</v>
      </c>
    </row>
    <row r="39" spans="2:4" x14ac:dyDescent="0.25">
      <c r="B39" s="297">
        <f>SUM(B3:B38)</f>
        <v>242129000</v>
      </c>
      <c r="D39" s="297">
        <v>3000</v>
      </c>
    </row>
    <row r="40" spans="2:4" x14ac:dyDescent="0.25">
      <c r="D40" s="297">
        <v>2500</v>
      </c>
    </row>
    <row r="41" spans="2:4" x14ac:dyDescent="0.25">
      <c r="D41" s="297">
        <v>200000</v>
      </c>
    </row>
    <row r="42" spans="2:4" x14ac:dyDescent="0.25">
      <c r="B42" s="297">
        <f>A11-B39</f>
        <v>5047500</v>
      </c>
      <c r="D42" s="297">
        <v>20000</v>
      </c>
    </row>
    <row r="43" spans="2:4" x14ac:dyDescent="0.25">
      <c r="D43" s="297">
        <v>5000</v>
      </c>
    </row>
    <row r="44" spans="2:4" x14ac:dyDescent="0.25">
      <c r="D44" s="297">
        <v>2500</v>
      </c>
    </row>
    <row r="45" spans="2:4" x14ac:dyDescent="0.25">
      <c r="D45" s="297">
        <v>200000</v>
      </c>
    </row>
    <row r="46" spans="2:4" x14ac:dyDescent="0.25">
      <c r="D46" s="297">
        <v>785</v>
      </c>
    </row>
    <row r="47" spans="2:4" x14ac:dyDescent="0.25">
      <c r="D47" s="297">
        <v>20000</v>
      </c>
    </row>
    <row r="48" spans="2:4" x14ac:dyDescent="0.25">
      <c r="D48" s="297">
        <v>29000</v>
      </c>
    </row>
    <row r="49" spans="4:4" x14ac:dyDescent="0.25">
      <c r="D49" s="297">
        <v>23000</v>
      </c>
    </row>
    <row r="50" spans="4:4" x14ac:dyDescent="0.25">
      <c r="D50" s="297">
        <f>SUM(D3:D49)</f>
        <v>3444934</v>
      </c>
    </row>
    <row r="52" spans="4:4" x14ac:dyDescent="0.25">
      <c r="D52" s="297">
        <f>C11-D50</f>
        <v>47991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4"/>
  <sheetViews>
    <sheetView workbookViewId="0">
      <selection activeCell="E10" sqref="E10"/>
    </sheetView>
  </sheetViews>
  <sheetFormatPr defaultRowHeight="15" x14ac:dyDescent="0.25"/>
  <cols>
    <col min="1" max="1" width="13.42578125" customWidth="1"/>
    <col min="2" max="2" width="20.5703125" customWidth="1"/>
    <col min="3" max="3" width="14.28515625" customWidth="1"/>
  </cols>
  <sheetData>
    <row r="1" spans="1:5" x14ac:dyDescent="0.25">
      <c r="B1" s="296"/>
    </row>
    <row r="2" spans="1:5" x14ac:dyDescent="0.25">
      <c r="A2" t="s">
        <v>452</v>
      </c>
      <c r="B2" s="296" t="s">
        <v>190</v>
      </c>
      <c r="C2" t="s">
        <v>454</v>
      </c>
      <c r="D2" t="s">
        <v>455</v>
      </c>
      <c r="E2" t="s">
        <v>453</v>
      </c>
    </row>
    <row r="3" spans="1:5" x14ac:dyDescent="0.25">
      <c r="B3" s="296"/>
    </row>
    <row r="4" spans="1:5" x14ac:dyDescent="0.25">
      <c r="B4" s="296"/>
    </row>
    <row r="5" spans="1:5" x14ac:dyDescent="0.25">
      <c r="B5" s="296"/>
    </row>
    <row r="6" spans="1:5" x14ac:dyDescent="0.25">
      <c r="B6" s="296"/>
    </row>
    <row r="7" spans="1:5" x14ac:dyDescent="0.25">
      <c r="B7" s="296"/>
    </row>
    <row r="8" spans="1:5" x14ac:dyDescent="0.25">
      <c r="B8" s="296"/>
    </row>
    <row r="9" spans="1:5" x14ac:dyDescent="0.25">
      <c r="B9" s="296"/>
    </row>
    <row r="10" spans="1:5" x14ac:dyDescent="0.25">
      <c r="B10" s="297"/>
    </row>
    <row r="12" spans="1:5" x14ac:dyDescent="0.25">
      <c r="B12" s="296"/>
    </row>
    <row r="13" spans="1:5" x14ac:dyDescent="0.25">
      <c r="B13" s="296"/>
    </row>
    <row r="14" spans="1:5" x14ac:dyDescent="0.25">
      <c r="B14" s="296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50"/>
  <sheetViews>
    <sheetView topLeftCell="A239" workbookViewId="0">
      <selection activeCell="D257" sqref="D257"/>
    </sheetView>
  </sheetViews>
  <sheetFormatPr defaultRowHeight="15" x14ac:dyDescent="0.25"/>
  <cols>
    <col min="1" max="1" width="5.5703125" customWidth="1"/>
    <col min="2" max="2" width="33" customWidth="1"/>
    <col min="3" max="3" width="13.7109375" customWidth="1"/>
    <col min="4" max="4" width="15.5703125" customWidth="1"/>
    <col min="5" max="5" width="12.7109375" customWidth="1"/>
    <col min="6" max="6" width="14" customWidth="1"/>
    <col min="7" max="7" width="12.85546875" bestFit="1" customWidth="1"/>
    <col min="8" max="8" width="14.28515625" bestFit="1" customWidth="1"/>
    <col min="9" max="9" width="15.28515625" bestFit="1" customWidth="1"/>
    <col min="10" max="10" width="12.5703125" bestFit="1" customWidth="1"/>
    <col min="12" max="12" width="14.28515625" bestFit="1" customWidth="1"/>
    <col min="14" max="14" width="10.5703125" bestFit="1" customWidth="1"/>
  </cols>
  <sheetData>
    <row r="1" spans="1:14" x14ac:dyDescent="0.25">
      <c r="A1" s="139" t="s">
        <v>0</v>
      </c>
      <c r="B1" s="139" t="s">
        <v>310</v>
      </c>
      <c r="C1" s="140" t="s">
        <v>311</v>
      </c>
      <c r="D1" s="140" t="s">
        <v>312</v>
      </c>
      <c r="E1" s="139" t="s">
        <v>302</v>
      </c>
      <c r="F1" s="139" t="s">
        <v>303</v>
      </c>
      <c r="G1" s="139" t="s">
        <v>304</v>
      </c>
      <c r="H1" s="139" t="s">
        <v>305</v>
      </c>
      <c r="I1" s="139" t="s">
        <v>306</v>
      </c>
      <c r="J1" s="139" t="s">
        <v>313</v>
      </c>
    </row>
    <row r="2" spans="1:14" x14ac:dyDescent="0.25">
      <c r="A2" s="147">
        <f>ALL!B4</f>
        <v>1</v>
      </c>
      <c r="B2" s="103" t="str">
        <f>ALL!C4</f>
        <v>Siti Latifah</v>
      </c>
      <c r="C2" s="141">
        <v>2015077142</v>
      </c>
      <c r="D2" s="103">
        <f>ALL!AU4</f>
        <v>200000</v>
      </c>
      <c r="E2" s="105">
        <f>ALL!AV4</f>
        <v>1335000</v>
      </c>
      <c r="F2" s="103">
        <f>ALL!AW4</f>
        <v>15000</v>
      </c>
      <c r="G2" s="105">
        <f>ALL!AX4</f>
        <v>68178</v>
      </c>
      <c r="H2" s="103">
        <f>ALL!AY4</f>
        <v>0</v>
      </c>
      <c r="I2" s="105">
        <f>ALL!AZ4</f>
        <v>0</v>
      </c>
      <c r="J2" s="105">
        <f>ALL!BA4</f>
        <v>515322</v>
      </c>
    </row>
    <row r="3" spans="1:14" x14ac:dyDescent="0.25">
      <c r="A3" s="147">
        <f>ALL!B5</f>
        <v>2</v>
      </c>
      <c r="B3" s="103" t="str">
        <f>ALL!C5</f>
        <v>Ulwiyatur Rif'ah, S.E</v>
      </c>
      <c r="C3" s="141">
        <v>3015128177</v>
      </c>
      <c r="D3" s="103">
        <f>ALL!AU5</f>
        <v>100000</v>
      </c>
      <c r="E3" s="105">
        <f>ALL!AV5</f>
        <v>0</v>
      </c>
      <c r="F3" s="103">
        <f>ALL!AW5</f>
        <v>15000</v>
      </c>
      <c r="G3" s="105">
        <f>ALL!AX5</f>
        <v>113630</v>
      </c>
      <c r="H3" s="103">
        <f>ALL!AY5</f>
        <v>200000</v>
      </c>
      <c r="I3" s="105">
        <f>ALL!AZ5</f>
        <v>0</v>
      </c>
      <c r="J3" s="105">
        <f>ALL!BA5</f>
        <v>2094470</v>
      </c>
    </row>
    <row r="4" spans="1:14" x14ac:dyDescent="0.25">
      <c r="A4" s="147">
        <f>ALL!B6</f>
        <v>3</v>
      </c>
      <c r="B4" s="103" t="str">
        <f>ALL!C6</f>
        <v>Rini Shohihah, S.E</v>
      </c>
      <c r="C4" s="141">
        <v>2015077061</v>
      </c>
      <c r="D4" s="103">
        <f>ALL!AU6</f>
        <v>200000</v>
      </c>
      <c r="E4" s="105">
        <f>ALL!AV6</f>
        <v>996500</v>
      </c>
      <c r="F4" s="103">
        <f>ALL!AW6</f>
        <v>15000</v>
      </c>
      <c r="G4" s="105">
        <f>ALL!AX6</f>
        <v>90904</v>
      </c>
      <c r="H4" s="103">
        <f>ALL!AY6</f>
        <v>200000</v>
      </c>
      <c r="I4" s="105">
        <f>ALL!AZ6</f>
        <v>0</v>
      </c>
      <c r="J4" s="105">
        <f>ALL!BA6</f>
        <v>862596</v>
      </c>
    </row>
    <row r="5" spans="1:14" x14ac:dyDescent="0.25">
      <c r="A5" s="147">
        <f>ALL!B7</f>
        <v>4</v>
      </c>
      <c r="B5" s="103" t="str">
        <f>ALL!C7</f>
        <v>Winda Zuliyaningsih</v>
      </c>
      <c r="C5" s="141">
        <v>3015169876</v>
      </c>
      <c r="D5" s="103">
        <f>ALL!AU7</f>
        <v>0</v>
      </c>
      <c r="E5" s="105">
        <f>ALL!AV7</f>
        <v>0</v>
      </c>
      <c r="F5" s="103">
        <f>ALL!AW7</f>
        <v>15000</v>
      </c>
      <c r="G5" s="105">
        <f>ALL!AX7</f>
        <v>0</v>
      </c>
      <c r="H5" s="103">
        <f>ALL!AY7</f>
        <v>100000</v>
      </c>
      <c r="I5" s="105">
        <f>ALL!AZ7</f>
        <v>0</v>
      </c>
      <c r="J5" s="105">
        <f>ALL!BA7</f>
        <v>1497700</v>
      </c>
      <c r="N5">
        <v>3709300</v>
      </c>
    </row>
    <row r="6" spans="1:14" x14ac:dyDescent="0.25">
      <c r="A6" s="147">
        <f>ALL!B8</f>
        <v>5</v>
      </c>
      <c r="B6" s="103" t="str">
        <f>ALL!C8</f>
        <v>Nawan Riyan Zufar, S.Pd.</v>
      </c>
      <c r="C6" s="141">
        <v>2093070553</v>
      </c>
      <c r="D6" s="103">
        <f>ALL!AU8</f>
        <v>0</v>
      </c>
      <c r="E6" s="105">
        <f>ALL!AV8</f>
        <v>0</v>
      </c>
      <c r="F6" s="103">
        <f>ALL!AW8</f>
        <v>15000</v>
      </c>
      <c r="G6" s="105">
        <f>ALL!AX8</f>
        <v>0</v>
      </c>
      <c r="H6" s="103">
        <f>ALL!AY8</f>
        <v>0</v>
      </c>
      <c r="I6" s="105">
        <f>ALL!AZ8</f>
        <v>0</v>
      </c>
      <c r="J6" s="105">
        <f>ALL!BA8</f>
        <v>3304600</v>
      </c>
      <c r="N6">
        <v>3360000</v>
      </c>
    </row>
    <row r="7" spans="1:14" x14ac:dyDescent="0.25">
      <c r="A7" s="147">
        <f>ALL!B9</f>
        <v>6</v>
      </c>
      <c r="B7" s="103" t="str">
        <f>ALL!C9</f>
        <v>Rona Faroni, S.Kom</v>
      </c>
      <c r="C7" s="103">
        <v>2015168857</v>
      </c>
      <c r="D7" s="103">
        <f>ALL!AU9</f>
        <v>0</v>
      </c>
      <c r="E7" s="105">
        <f>ALL!AV9</f>
        <v>0</v>
      </c>
      <c r="F7" s="103">
        <f>ALL!AW9</f>
        <v>15000</v>
      </c>
      <c r="G7" s="105">
        <f>ALL!AX9</f>
        <v>0</v>
      </c>
      <c r="H7" s="103">
        <f>ALL!AY9</f>
        <v>100000</v>
      </c>
      <c r="I7" s="105">
        <f>ALL!AZ9</f>
        <v>0</v>
      </c>
      <c r="J7" s="105">
        <f>ALL!BA9</f>
        <v>2283500</v>
      </c>
      <c r="N7" s="1">
        <f>SUM(N5:N6)</f>
        <v>7069300</v>
      </c>
    </row>
    <row r="8" spans="1:14" x14ac:dyDescent="0.25">
      <c r="A8" s="147">
        <f>ALL!B10</f>
        <v>7</v>
      </c>
      <c r="B8" s="103" t="str">
        <f>ALL!C10</f>
        <v>Aufal Hadaya, M.Pd</v>
      </c>
      <c r="C8" s="103">
        <v>3015210558</v>
      </c>
      <c r="D8" s="103">
        <f>ALL!AU10</f>
        <v>100000</v>
      </c>
      <c r="E8" s="105">
        <f>ALL!AV10</f>
        <v>0</v>
      </c>
      <c r="F8" s="103">
        <f>ALL!AW10</f>
        <v>15000</v>
      </c>
      <c r="G8" s="105">
        <f>ALL!AX10</f>
        <v>0</v>
      </c>
      <c r="H8" s="103">
        <f>ALL!AY10</f>
        <v>100000</v>
      </c>
      <c r="I8" s="105">
        <f>ALL!AZ10</f>
        <v>0</v>
      </c>
      <c r="J8" s="105">
        <f>ALL!BA10</f>
        <v>2525800</v>
      </c>
    </row>
    <row r="9" spans="1:14" x14ac:dyDescent="0.25">
      <c r="A9" s="147">
        <f>ALL!B11</f>
        <v>8</v>
      </c>
      <c r="B9" s="103" t="str">
        <f>ALL!C11</f>
        <v>Edi Susilo, S. Pd. I</v>
      </c>
      <c r="C9" s="141">
        <v>3015118139</v>
      </c>
      <c r="D9" s="103">
        <f>ALL!AU11</f>
        <v>100000</v>
      </c>
      <c r="E9" s="105">
        <f>ALL!AV11</f>
        <v>1365500</v>
      </c>
      <c r="F9" s="103">
        <f>ALL!AW11</f>
        <v>15000</v>
      </c>
      <c r="G9" s="105">
        <f>ALL!AX11</f>
        <v>90904</v>
      </c>
      <c r="H9" s="103">
        <f>ALL!AY11</f>
        <v>100000</v>
      </c>
      <c r="I9" s="105">
        <f>ALL!AZ11</f>
        <v>0</v>
      </c>
      <c r="J9" s="105">
        <f>ALL!BA11</f>
        <v>1932796</v>
      </c>
    </row>
    <row r="10" spans="1:14" x14ac:dyDescent="0.25">
      <c r="A10" s="147">
        <f>ALL!B12</f>
        <v>9</v>
      </c>
      <c r="B10" s="103" t="str">
        <f>ALL!C12</f>
        <v xml:space="preserve">Khoiril Anam, M.Pd. </v>
      </c>
      <c r="C10" s="141">
        <v>3015118058</v>
      </c>
      <c r="D10" s="103">
        <f>ALL!AU12</f>
        <v>200000</v>
      </c>
      <c r="E10" s="105">
        <f>ALL!AV12</f>
        <v>1335000</v>
      </c>
      <c r="F10" s="103">
        <f>ALL!AW12</f>
        <v>15000</v>
      </c>
      <c r="G10" s="105">
        <f>ALL!AX12</f>
        <v>90904</v>
      </c>
      <c r="H10" s="103">
        <f>ALL!AY12</f>
        <v>200000</v>
      </c>
      <c r="I10" s="105">
        <f>ALL!AZ12</f>
        <v>220000</v>
      </c>
      <c r="J10" s="105">
        <f>ALL!BA12</f>
        <v>805096</v>
      </c>
    </row>
    <row r="11" spans="1:14" x14ac:dyDescent="0.25">
      <c r="A11" s="147">
        <f>ALL!B13</f>
        <v>10</v>
      </c>
      <c r="B11" s="103" t="str">
        <f>ALL!C13</f>
        <v xml:space="preserve">Mariatul Qibityah, S.Pd. </v>
      </c>
      <c r="C11" s="141">
        <v>3015117949</v>
      </c>
      <c r="D11" s="103">
        <f>ALL!AU13</f>
        <v>200000</v>
      </c>
      <c r="E11" s="105">
        <f>ALL!AV13</f>
        <v>0</v>
      </c>
      <c r="F11" s="103">
        <f>ALL!AW13</f>
        <v>15000</v>
      </c>
      <c r="G11" s="105">
        <f>ALL!AX13</f>
        <v>136356</v>
      </c>
      <c r="H11" s="103">
        <f>ALL!AY13</f>
        <v>0</v>
      </c>
      <c r="I11" s="105">
        <f>ALL!AZ13</f>
        <v>0</v>
      </c>
      <c r="J11" s="105">
        <f>ALL!BA13</f>
        <v>2852844</v>
      </c>
    </row>
    <row r="12" spans="1:14" x14ac:dyDescent="0.25">
      <c r="A12" s="147">
        <f>ALL!B14</f>
        <v>11</v>
      </c>
      <c r="B12" s="103" t="str">
        <f>ALL!C14</f>
        <v xml:space="preserve">Rahmat Uki Bahtiar, S.Sy, S.Pd. </v>
      </c>
      <c r="C12" s="141">
        <v>2015057354</v>
      </c>
      <c r="D12" s="103">
        <f>ALL!AU14</f>
        <v>0</v>
      </c>
      <c r="E12" s="105">
        <f>ALL!AV14</f>
        <v>1495000</v>
      </c>
      <c r="F12" s="103">
        <f>ALL!AW14</f>
        <v>15000</v>
      </c>
      <c r="G12" s="105">
        <f>ALL!AX14</f>
        <v>68178</v>
      </c>
      <c r="H12" s="103">
        <f>ALL!AY14</f>
        <v>400000</v>
      </c>
      <c r="I12" s="105">
        <f>ALL!AZ14</f>
        <v>620000</v>
      </c>
      <c r="J12" s="105">
        <f>ALL!BA14</f>
        <v>285622</v>
      </c>
    </row>
    <row r="13" spans="1:14" x14ac:dyDescent="0.25">
      <c r="A13" s="147">
        <f>ALL!B15</f>
        <v>12</v>
      </c>
      <c r="B13" s="103" t="str">
        <f>ALL!C15</f>
        <v>Desitrillia Nurjannah, S.Pd.</v>
      </c>
      <c r="C13" s="141">
        <v>3015128207</v>
      </c>
      <c r="D13" s="103">
        <f>ALL!AU15</f>
        <v>100000</v>
      </c>
      <c r="E13" s="105">
        <f>ALL!AV15</f>
        <v>1335000</v>
      </c>
      <c r="F13" s="103">
        <f>ALL!AW15</f>
        <v>15000</v>
      </c>
      <c r="G13" s="105">
        <f>ALL!AX15</f>
        <v>90904</v>
      </c>
      <c r="H13" s="103">
        <f>ALL!AY15</f>
        <v>100000</v>
      </c>
      <c r="I13" s="105">
        <f>ALL!AZ15</f>
        <v>69200</v>
      </c>
      <c r="J13" s="105">
        <f>ALL!BA15</f>
        <v>1080896</v>
      </c>
    </row>
    <row r="14" spans="1:14" x14ac:dyDescent="0.25">
      <c r="A14" s="147" t="e">
        <f>ALL!#REF!</f>
        <v>#REF!</v>
      </c>
      <c r="B14" s="103" t="e">
        <f>ALL!#REF!</f>
        <v>#REF!</v>
      </c>
      <c r="C14" s="103">
        <v>2068064310</v>
      </c>
      <c r="D14" s="103" t="e">
        <f>ALL!#REF!</f>
        <v>#REF!</v>
      </c>
      <c r="E14" s="105" t="e">
        <f>ALL!#REF!</f>
        <v>#REF!</v>
      </c>
      <c r="F14" s="103" t="e">
        <f>ALL!#REF!</f>
        <v>#REF!</v>
      </c>
      <c r="G14" s="105" t="e">
        <f>ALL!#REF!</f>
        <v>#REF!</v>
      </c>
      <c r="H14" s="103" t="e">
        <f>ALL!#REF!</f>
        <v>#REF!</v>
      </c>
      <c r="I14" s="105" t="e">
        <f>ALL!#REF!</f>
        <v>#REF!</v>
      </c>
      <c r="J14" s="105" t="e">
        <f>ALL!#REF!</f>
        <v>#REF!</v>
      </c>
    </row>
    <row r="15" spans="1:14" x14ac:dyDescent="0.25">
      <c r="A15" s="147">
        <f>ALL!B17</f>
        <v>14</v>
      </c>
      <c r="B15" s="103" t="str">
        <f>ALL!C17</f>
        <v>Nurun Nahari Syarifah, S.Psi.</v>
      </c>
      <c r="C15" s="103">
        <v>2093089602</v>
      </c>
      <c r="D15" s="103">
        <f>ALL!AU17</f>
        <v>0</v>
      </c>
      <c r="E15" s="105">
        <f>ALL!AV17</f>
        <v>0</v>
      </c>
      <c r="F15" s="103">
        <f>ALL!AW17</f>
        <v>15000</v>
      </c>
      <c r="G15" s="105">
        <f>ALL!AX17</f>
        <v>0</v>
      </c>
      <c r="H15" s="103">
        <f>ALL!AY17</f>
        <v>100000</v>
      </c>
      <c r="I15" s="105">
        <f>ALL!AZ17</f>
        <v>0</v>
      </c>
      <c r="J15" s="105">
        <f>ALL!BA17</f>
        <v>2534600</v>
      </c>
    </row>
    <row r="16" spans="1:14" x14ac:dyDescent="0.25">
      <c r="A16" s="147" t="e">
        <f>ALL!#REF!</f>
        <v>#REF!</v>
      </c>
      <c r="B16" s="103" t="e">
        <f>ALL!#REF!</f>
        <v>#REF!</v>
      </c>
      <c r="C16" s="103">
        <v>2015080411</v>
      </c>
      <c r="D16" s="103" t="e">
        <f>ALL!#REF!</f>
        <v>#REF!</v>
      </c>
      <c r="E16" s="105" t="e">
        <f>ALL!#REF!</f>
        <v>#REF!</v>
      </c>
      <c r="F16" s="103" t="e">
        <f>ALL!#REF!</f>
        <v>#REF!</v>
      </c>
      <c r="G16" s="105" t="e">
        <f>ALL!#REF!</f>
        <v>#REF!</v>
      </c>
      <c r="H16" s="103" t="e">
        <f>ALL!#REF!</f>
        <v>#REF!</v>
      </c>
      <c r="I16" s="105" t="e">
        <f>ALL!#REF!</f>
        <v>#REF!</v>
      </c>
      <c r="J16" s="105" t="e">
        <f>ALL!#REF!</f>
        <v>#REF!</v>
      </c>
    </row>
    <row r="17" spans="1:10" x14ac:dyDescent="0.25">
      <c r="A17" s="147">
        <f>ALL!B19</f>
        <v>16</v>
      </c>
      <c r="B17" s="103" t="str">
        <f>ALL!C19</f>
        <v>Syaifiana Anjar Puspitasari,S.Pd.</v>
      </c>
      <c r="C17" s="103" t="s">
        <v>314</v>
      </c>
      <c r="D17" s="103">
        <f>ALL!AU19</f>
        <v>0</v>
      </c>
      <c r="E17" s="105">
        <f>ALL!AV19</f>
        <v>0</v>
      </c>
      <c r="F17" s="103">
        <f>ALL!AW19</f>
        <v>15000</v>
      </c>
      <c r="G17" s="105">
        <f>ALL!AX19</f>
        <v>0</v>
      </c>
      <c r="H17" s="103">
        <f>ALL!AY19</f>
        <v>100000</v>
      </c>
      <c r="I17" s="105">
        <f>ALL!AZ19</f>
        <v>0</v>
      </c>
      <c r="J17" s="105">
        <f>ALL!BA19</f>
        <v>2560600</v>
      </c>
    </row>
    <row r="18" spans="1:10" x14ac:dyDescent="0.25">
      <c r="A18" s="147" t="e">
        <f>ALL!#REF!</f>
        <v>#REF!</v>
      </c>
      <c r="B18" s="103" t="e">
        <f>ALL!#REF!</f>
        <v>#REF!</v>
      </c>
      <c r="C18" s="103">
        <v>2015182485</v>
      </c>
      <c r="D18" s="103" t="e">
        <f>ALL!#REF!</f>
        <v>#REF!</v>
      </c>
      <c r="E18" s="105" t="e">
        <f>ALL!#REF!</f>
        <v>#REF!</v>
      </c>
      <c r="F18" s="103" t="e">
        <f>ALL!#REF!</f>
        <v>#REF!</v>
      </c>
      <c r="G18" s="105" t="e">
        <f>ALL!#REF!</f>
        <v>#REF!</v>
      </c>
      <c r="H18" s="103" t="e">
        <f>ALL!#REF!</f>
        <v>#REF!</v>
      </c>
      <c r="I18" s="105" t="e">
        <f>ALL!#REF!</f>
        <v>#REF!</v>
      </c>
      <c r="J18" s="105" t="e">
        <f>ALL!#REF!</f>
        <v>#REF!</v>
      </c>
    </row>
    <row r="19" spans="1:10" x14ac:dyDescent="0.25">
      <c r="A19" s="147">
        <f>ALL!B21</f>
        <v>18</v>
      </c>
      <c r="B19" s="103" t="str">
        <f>ALL!C21</f>
        <v>Muhimmatun Nisa', S. Pd</v>
      </c>
      <c r="C19" s="141">
        <v>3015118015</v>
      </c>
      <c r="D19" s="103">
        <f>ALL!AU21</f>
        <v>400000</v>
      </c>
      <c r="E19" s="105">
        <f>ALL!AV21</f>
        <v>0</v>
      </c>
      <c r="F19" s="103">
        <f>ALL!AW21</f>
        <v>15000</v>
      </c>
      <c r="G19" s="105">
        <f>ALL!AX21</f>
        <v>159082</v>
      </c>
      <c r="H19" s="103">
        <f>ALL!AY21</f>
        <v>200000</v>
      </c>
      <c r="I19" s="105">
        <f>ALL!AZ21</f>
        <v>0</v>
      </c>
      <c r="J19" s="105">
        <f>ALL!BA21</f>
        <v>1951918</v>
      </c>
    </row>
    <row r="20" spans="1:10" x14ac:dyDescent="0.25">
      <c r="A20" s="147">
        <f>ALL!B22</f>
        <v>19</v>
      </c>
      <c r="B20" s="103" t="str">
        <f>ALL!C22</f>
        <v xml:space="preserve">Rizki Hardyanti, S.Pd. </v>
      </c>
      <c r="C20" s="142">
        <v>2093104091</v>
      </c>
      <c r="D20" s="103">
        <f>ALL!AU22</f>
        <v>0</v>
      </c>
      <c r="E20" s="105">
        <f>ALL!AV22</f>
        <v>0</v>
      </c>
      <c r="F20" s="103">
        <f>ALL!AW22</f>
        <v>15000</v>
      </c>
      <c r="G20" s="105">
        <f>ALL!AX22</f>
        <v>0</v>
      </c>
      <c r="H20" s="103">
        <f>ALL!AY22</f>
        <v>100000</v>
      </c>
      <c r="I20" s="105">
        <f>ALL!AZ22</f>
        <v>0</v>
      </c>
      <c r="J20" s="105">
        <f>ALL!BA22</f>
        <v>2457000</v>
      </c>
    </row>
    <row r="21" spans="1:10" x14ac:dyDescent="0.25">
      <c r="A21" s="147" t="e">
        <f>ALL!#REF!</f>
        <v>#REF!</v>
      </c>
      <c r="B21" s="103" t="e">
        <f>ALL!#REF!</f>
        <v>#REF!</v>
      </c>
      <c r="C21" s="141">
        <v>3015118040</v>
      </c>
      <c r="D21" s="103" t="e">
        <f>ALL!#REF!</f>
        <v>#REF!</v>
      </c>
      <c r="E21" s="105" t="e">
        <f>ALL!#REF!</f>
        <v>#REF!</v>
      </c>
      <c r="F21" s="103" t="e">
        <f>ALL!#REF!</f>
        <v>#REF!</v>
      </c>
      <c r="G21" s="105" t="e">
        <f>ALL!#REF!</f>
        <v>#REF!</v>
      </c>
      <c r="H21" s="103" t="e">
        <f>ALL!#REF!</f>
        <v>#REF!</v>
      </c>
      <c r="I21" s="105" t="e">
        <f>ALL!#REF!</f>
        <v>#REF!</v>
      </c>
      <c r="J21" s="105" t="e">
        <f>ALL!#REF!</f>
        <v>#REF!</v>
      </c>
    </row>
    <row r="22" spans="1:10" x14ac:dyDescent="0.25">
      <c r="A22" s="147" t="e">
        <f>ALL!#REF!</f>
        <v>#REF!</v>
      </c>
      <c r="B22" s="103" t="e">
        <f>ALL!#REF!</f>
        <v>#REF!</v>
      </c>
      <c r="C22" s="141">
        <v>3015168764</v>
      </c>
      <c r="D22" s="103" t="e">
        <f>ALL!#REF!</f>
        <v>#REF!</v>
      </c>
      <c r="E22" s="105" t="e">
        <f>ALL!#REF!</f>
        <v>#REF!</v>
      </c>
      <c r="F22" s="103" t="e">
        <f>ALL!#REF!</f>
        <v>#REF!</v>
      </c>
      <c r="G22" s="105" t="e">
        <f>ALL!#REF!</f>
        <v>#REF!</v>
      </c>
      <c r="H22" s="103" t="e">
        <f>ALL!#REF!</f>
        <v>#REF!</v>
      </c>
      <c r="I22" s="105" t="e">
        <f>ALL!#REF!</f>
        <v>#REF!</v>
      </c>
      <c r="J22" s="105" t="e">
        <f>ALL!#REF!</f>
        <v>#REF!</v>
      </c>
    </row>
    <row r="23" spans="1:10" x14ac:dyDescent="0.25">
      <c r="A23" s="147">
        <f>ALL!B25</f>
        <v>22</v>
      </c>
      <c r="B23" s="103" t="str">
        <f>ALL!C25</f>
        <v xml:space="preserve">Firda Farihatul Ulya, S.Pd. </v>
      </c>
      <c r="C23" s="103">
        <v>3015219989</v>
      </c>
      <c r="D23" s="103">
        <f>ALL!AU25</f>
        <v>0</v>
      </c>
      <c r="E23" s="105">
        <f>ALL!AV25</f>
        <v>0</v>
      </c>
      <c r="F23" s="103">
        <f>ALL!AW25</f>
        <v>15000</v>
      </c>
      <c r="G23" s="105">
        <f>ALL!AX25</f>
        <v>0</v>
      </c>
      <c r="H23" s="103">
        <f>ALL!AY25</f>
        <v>100000</v>
      </c>
      <c r="I23" s="105">
        <f>ALL!AZ25</f>
        <v>0</v>
      </c>
      <c r="J23" s="105">
        <f>ALL!BA25</f>
        <v>2560600</v>
      </c>
    </row>
    <row r="24" spans="1:10" x14ac:dyDescent="0.25">
      <c r="A24" s="147">
        <f>ALL!B26</f>
        <v>23</v>
      </c>
      <c r="B24" s="103" t="str">
        <f>ALL!C26</f>
        <v xml:space="preserve">Luqman Khafid, M.Pd. </v>
      </c>
      <c r="C24" s="103">
        <v>2093089556</v>
      </c>
      <c r="D24" s="103">
        <f>ALL!AU26</f>
        <v>0</v>
      </c>
      <c r="E24" s="105">
        <f>ALL!AV26</f>
        <v>0</v>
      </c>
      <c r="F24" s="103">
        <f>ALL!AW26</f>
        <v>15000</v>
      </c>
      <c r="G24" s="105">
        <f>ALL!AX26</f>
        <v>0</v>
      </c>
      <c r="H24" s="103">
        <f>ALL!AY26</f>
        <v>100000</v>
      </c>
      <c r="I24" s="105">
        <f>ALL!AZ26</f>
        <v>0</v>
      </c>
      <c r="J24" s="105">
        <f>ALL!BA26</f>
        <v>2467600</v>
      </c>
    </row>
    <row r="25" spans="1:10" x14ac:dyDescent="0.25">
      <c r="A25" s="147">
        <f>ALL!B31</f>
        <v>28</v>
      </c>
      <c r="B25" s="103" t="str">
        <f>ALL!C31</f>
        <v xml:space="preserve">Ni'matul Afifah, S.Pd. </v>
      </c>
      <c r="C25" s="141">
        <v>3015117990</v>
      </c>
      <c r="D25" s="103">
        <f>ALL!AU31</f>
        <v>600000</v>
      </c>
      <c r="E25" s="105">
        <f>ALL!AV31</f>
        <v>0</v>
      </c>
      <c r="F25" s="103">
        <f>ALL!AW31</f>
        <v>15000</v>
      </c>
      <c r="G25" s="105">
        <f>ALL!AX31</f>
        <v>113630</v>
      </c>
      <c r="H25" s="103">
        <f>ALL!AY31</f>
        <v>300000</v>
      </c>
      <c r="I25" s="105">
        <f>ALL!AZ31</f>
        <v>0</v>
      </c>
      <c r="J25" s="105">
        <f>ALL!BA31</f>
        <v>1665570</v>
      </c>
    </row>
    <row r="26" spans="1:10" x14ac:dyDescent="0.25">
      <c r="A26" s="147">
        <f>ALL!B30</f>
        <v>27</v>
      </c>
      <c r="B26" s="103" t="str">
        <f>ALL!C30</f>
        <v xml:space="preserve">Khoiril Anwar, S.Pd. </v>
      </c>
      <c r="C26" s="141">
        <v>3015134509</v>
      </c>
      <c r="D26" s="103">
        <f>ALL!AU30</f>
        <v>0</v>
      </c>
      <c r="E26" s="105">
        <f>ALL!AV30</f>
        <v>0</v>
      </c>
      <c r="F26" s="103">
        <f>ALL!AW30</f>
        <v>15000</v>
      </c>
      <c r="G26" s="105">
        <f>ALL!AX30</f>
        <v>45452</v>
      </c>
      <c r="H26" s="103">
        <f>ALL!AY30</f>
        <v>200000</v>
      </c>
      <c r="I26" s="105">
        <f>ALL!AZ30</f>
        <v>0</v>
      </c>
      <c r="J26" s="105">
        <f>ALL!BA30</f>
        <v>1709548</v>
      </c>
    </row>
    <row r="27" spans="1:10" x14ac:dyDescent="0.25">
      <c r="A27" s="147" t="e">
        <f>ALL!#REF!</f>
        <v>#REF!</v>
      </c>
      <c r="B27" s="103" t="e">
        <f>ALL!#REF!</f>
        <v>#REF!</v>
      </c>
      <c r="C27" s="141">
        <v>3015117973</v>
      </c>
      <c r="D27" s="103" t="e">
        <f>ALL!#REF!</f>
        <v>#REF!</v>
      </c>
      <c r="E27" s="105" t="e">
        <f>ALL!#REF!</f>
        <v>#REF!</v>
      </c>
      <c r="F27" s="103" t="e">
        <f>ALL!#REF!</f>
        <v>#REF!</v>
      </c>
      <c r="G27" s="105" t="e">
        <f>ALL!#REF!</f>
        <v>#REF!</v>
      </c>
      <c r="H27" s="103" t="e">
        <f>ALL!#REF!</f>
        <v>#REF!</v>
      </c>
      <c r="I27" s="105" t="e">
        <f>ALL!#REF!</f>
        <v>#REF!</v>
      </c>
      <c r="J27" s="105" t="e">
        <f>ALL!#REF!</f>
        <v>#REF!</v>
      </c>
    </row>
    <row r="28" spans="1:10" x14ac:dyDescent="0.25">
      <c r="A28" s="147" t="e">
        <f>ALL!#REF!</f>
        <v>#REF!</v>
      </c>
      <c r="B28" s="103" t="e">
        <f>ALL!#REF!</f>
        <v>#REF!</v>
      </c>
      <c r="C28" s="103">
        <v>2015186537</v>
      </c>
      <c r="D28" s="103" t="e">
        <f>ALL!#REF!</f>
        <v>#REF!</v>
      </c>
      <c r="E28" s="105" t="e">
        <f>ALL!#REF!</f>
        <v>#REF!</v>
      </c>
      <c r="F28" s="103" t="e">
        <f>ALL!#REF!</f>
        <v>#REF!</v>
      </c>
      <c r="G28" s="105" t="e">
        <f>ALL!#REF!</f>
        <v>#REF!</v>
      </c>
      <c r="H28" s="103" t="e">
        <f>ALL!#REF!</f>
        <v>#REF!</v>
      </c>
      <c r="I28" s="105" t="e">
        <f>ALL!#REF!</f>
        <v>#REF!</v>
      </c>
      <c r="J28" s="105" t="e">
        <f>ALL!#REF!</f>
        <v>#REF!</v>
      </c>
    </row>
    <row r="29" spans="1:10" x14ac:dyDescent="0.25">
      <c r="A29" s="147">
        <f>ALL!B27</f>
        <v>24</v>
      </c>
      <c r="B29" s="103" t="str">
        <f>ALL!C27</f>
        <v xml:space="preserve">Sri Hartatik, S.Pd. </v>
      </c>
      <c r="C29" s="103">
        <v>2068064280</v>
      </c>
      <c r="D29" s="103">
        <f>ALL!AU27</f>
        <v>0</v>
      </c>
      <c r="E29" s="105">
        <f>ALL!AV27</f>
        <v>0</v>
      </c>
      <c r="F29" s="103">
        <f>ALL!AW27</f>
        <v>15000</v>
      </c>
      <c r="G29" s="105">
        <f>ALL!AX27</f>
        <v>0</v>
      </c>
      <c r="H29" s="103">
        <f>ALL!AY27</f>
        <v>100000</v>
      </c>
      <c r="I29" s="105">
        <f>ALL!AZ27</f>
        <v>0</v>
      </c>
      <c r="J29" s="105">
        <f>ALL!BA27</f>
        <v>2583500</v>
      </c>
    </row>
    <row r="30" spans="1:10" x14ac:dyDescent="0.25">
      <c r="A30" s="147">
        <f>ALL!B32</f>
        <v>29</v>
      </c>
      <c r="B30" s="103" t="str">
        <f>ALL!C32</f>
        <v>Risqa Nur Fadhilah, S.Pd.</v>
      </c>
      <c r="C30" s="141">
        <f>[2]BPD!$C$43</f>
        <v>2068053661</v>
      </c>
      <c r="D30" s="103">
        <f>ALL!AU32</f>
        <v>0</v>
      </c>
      <c r="E30" s="105">
        <f>ALL!AV32</f>
        <v>0</v>
      </c>
      <c r="F30" s="103">
        <f>ALL!AW32</f>
        <v>15000</v>
      </c>
      <c r="G30" s="105">
        <f>ALL!AX32</f>
        <v>0</v>
      </c>
      <c r="H30" s="103">
        <f>ALL!AY32</f>
        <v>200000</v>
      </c>
      <c r="I30" s="105">
        <f>ALL!AZ32</f>
        <v>0</v>
      </c>
      <c r="J30" s="105">
        <f>ALL!BA32</f>
        <v>2400000</v>
      </c>
    </row>
    <row r="31" spans="1:10" x14ac:dyDescent="0.25">
      <c r="A31" s="147">
        <f>ALL!B33</f>
        <v>30</v>
      </c>
      <c r="B31" s="103" t="str">
        <f>ALL!C33</f>
        <v xml:space="preserve">Rika Setyaningsih, S.Pd. </v>
      </c>
      <c r="C31" s="141">
        <v>3015135122</v>
      </c>
      <c r="D31" s="103">
        <f>ALL!AU33</f>
        <v>100000</v>
      </c>
      <c r="E31" s="105">
        <f>ALL!AV33</f>
        <v>1053500</v>
      </c>
      <c r="F31" s="103">
        <f>ALL!AW33</f>
        <v>15000</v>
      </c>
      <c r="G31" s="105">
        <f>ALL!AX33</f>
        <v>136356</v>
      </c>
      <c r="H31" s="103">
        <f>ALL!AY33</f>
        <v>0</v>
      </c>
      <c r="I31" s="105">
        <f>ALL!AZ33</f>
        <v>0</v>
      </c>
      <c r="J31" s="105">
        <f>ALL!BA33</f>
        <v>1360144</v>
      </c>
    </row>
    <row r="32" spans="1:10" x14ac:dyDescent="0.25">
      <c r="A32" s="147">
        <f>ALL!B38</f>
        <v>35</v>
      </c>
      <c r="B32" s="103" t="str">
        <f>ALL!C38</f>
        <v>Shofi Inayah, S.Pd.</v>
      </c>
      <c r="C32" s="141">
        <v>2015057621</v>
      </c>
      <c r="D32" s="103">
        <f>ALL!AU38</f>
        <v>300000</v>
      </c>
      <c r="E32" s="105">
        <f>ALL!AV38</f>
        <v>1365500</v>
      </c>
      <c r="F32" s="103">
        <f>ALL!AW38</f>
        <v>15000</v>
      </c>
      <c r="G32" s="105">
        <f>ALL!AX38</f>
        <v>90904</v>
      </c>
      <c r="H32" s="103">
        <f>ALL!AY38</f>
        <v>200000</v>
      </c>
      <c r="I32" s="105">
        <f>ALL!AZ38</f>
        <v>0</v>
      </c>
      <c r="J32" s="105">
        <f>ALL!BA38</f>
        <v>133596</v>
      </c>
    </row>
    <row r="33" spans="1:10" ht="15.75" x14ac:dyDescent="0.25">
      <c r="A33" s="147" t="e">
        <f>ALL!#REF!</f>
        <v>#REF!</v>
      </c>
      <c r="B33" s="103" t="e">
        <f>ALL!#REF!</f>
        <v>#REF!</v>
      </c>
      <c r="C33" s="143">
        <v>3015134525</v>
      </c>
      <c r="D33" s="103" t="e">
        <f>ALL!#REF!</f>
        <v>#REF!</v>
      </c>
      <c r="E33" s="105" t="e">
        <f>ALL!#REF!</f>
        <v>#REF!</v>
      </c>
      <c r="F33" s="103" t="e">
        <f>ALL!#REF!</f>
        <v>#REF!</v>
      </c>
      <c r="G33" s="105" t="e">
        <f>ALL!#REF!</f>
        <v>#REF!</v>
      </c>
      <c r="H33" s="103" t="e">
        <f>ALL!#REF!</f>
        <v>#REF!</v>
      </c>
      <c r="I33" s="105" t="e">
        <f>ALL!#REF!</f>
        <v>#REF!</v>
      </c>
      <c r="J33" s="105" t="e">
        <f>ALL!#REF!</f>
        <v>#REF!</v>
      </c>
    </row>
    <row r="34" spans="1:10" x14ac:dyDescent="0.25">
      <c r="A34" s="147">
        <f>ALL!B35</f>
        <v>32</v>
      </c>
      <c r="B34" s="103" t="str">
        <f>ALL!C35</f>
        <v xml:space="preserve">Nihlatillah, S.Pd. </v>
      </c>
      <c r="C34" s="141">
        <v>3015118091</v>
      </c>
      <c r="D34" s="103">
        <f>ALL!AU35</f>
        <v>200000</v>
      </c>
      <c r="E34" s="105">
        <f>ALL!AV35</f>
        <v>1335000</v>
      </c>
      <c r="F34" s="103">
        <f>ALL!AW35</f>
        <v>15000</v>
      </c>
      <c r="G34" s="105">
        <f>ALL!AX35</f>
        <v>90904</v>
      </c>
      <c r="H34" s="103">
        <f>ALL!AY35</f>
        <v>300000</v>
      </c>
      <c r="I34" s="105">
        <f>ALL!AZ35</f>
        <v>220000</v>
      </c>
      <c r="J34" s="105">
        <f>ALL!BA35</f>
        <v>852296</v>
      </c>
    </row>
    <row r="35" spans="1:10" x14ac:dyDescent="0.25">
      <c r="A35" s="147">
        <f>ALL!B37</f>
        <v>34</v>
      </c>
      <c r="B35" s="103" t="str">
        <f>ALL!C37</f>
        <v>Titin Safitri, S.Pd.</v>
      </c>
      <c r="C35" s="141">
        <v>3015118007</v>
      </c>
      <c r="D35" s="103">
        <f>ALL!AU37</f>
        <v>100000</v>
      </c>
      <c r="E35" s="105">
        <f>ALL!AV37</f>
        <v>0</v>
      </c>
      <c r="F35" s="103">
        <f>ALL!AW37</f>
        <v>15000</v>
      </c>
      <c r="G35" s="105">
        <f>ALL!AX37</f>
        <v>68178</v>
      </c>
      <c r="H35" s="103">
        <f>ALL!AY37</f>
        <v>0</v>
      </c>
      <c r="I35" s="105">
        <f>ALL!AZ37</f>
        <v>325000</v>
      </c>
      <c r="J35" s="105">
        <f>ALL!BA37</f>
        <v>2276822</v>
      </c>
    </row>
    <row r="36" spans="1:10" x14ac:dyDescent="0.25">
      <c r="A36" s="147">
        <f>ALL!B34</f>
        <v>31</v>
      </c>
      <c r="B36" s="103" t="str">
        <f>ALL!C34</f>
        <v>Khoiroma Aushof, S.Pd.</v>
      </c>
      <c r="C36" s="103">
        <v>2015190046</v>
      </c>
      <c r="D36" s="103">
        <f>ALL!AU34</f>
        <v>0</v>
      </c>
      <c r="E36" s="105">
        <f>ALL!AV34</f>
        <v>0</v>
      </c>
      <c r="F36" s="103">
        <f>ALL!AW34</f>
        <v>15000</v>
      </c>
      <c r="G36" s="105">
        <f>ALL!AX34</f>
        <v>0</v>
      </c>
      <c r="H36" s="103">
        <f>ALL!AY34</f>
        <v>0</v>
      </c>
      <c r="I36" s="105">
        <f>ALL!AZ34</f>
        <v>0</v>
      </c>
      <c r="J36" s="105">
        <f>ALL!BA34</f>
        <v>2804600</v>
      </c>
    </row>
    <row r="37" spans="1:10" x14ac:dyDescent="0.25">
      <c r="A37" s="147" t="e">
        <f>ALL!#REF!</f>
        <v>#REF!</v>
      </c>
      <c r="B37" s="103" t="e">
        <f>ALL!#REF!</f>
        <v>#REF!</v>
      </c>
      <c r="C37" s="103" t="s">
        <v>315</v>
      </c>
      <c r="D37" s="103" t="e">
        <f>ALL!#REF!</f>
        <v>#REF!</v>
      </c>
      <c r="E37" s="105" t="e">
        <f>ALL!#REF!</f>
        <v>#REF!</v>
      </c>
      <c r="F37" s="103" t="e">
        <f>ALL!#REF!</f>
        <v>#REF!</v>
      </c>
      <c r="G37" s="105" t="e">
        <f>ALL!#REF!</f>
        <v>#REF!</v>
      </c>
      <c r="H37" s="103" t="e">
        <f>ALL!#REF!</f>
        <v>#REF!</v>
      </c>
      <c r="I37" s="105" t="e">
        <f>ALL!#REF!</f>
        <v>#REF!</v>
      </c>
      <c r="J37" s="105" t="e">
        <f>ALL!#REF!</f>
        <v>#REF!</v>
      </c>
    </row>
    <row r="38" spans="1:10" x14ac:dyDescent="0.25">
      <c r="A38" s="147">
        <f>ALL!B39</f>
        <v>36</v>
      </c>
      <c r="B38" s="103" t="str">
        <f>ALL!C39</f>
        <v>Mariyatu Ulfa, S.Pd.</v>
      </c>
      <c r="C38" s="141">
        <v>3015117957</v>
      </c>
      <c r="D38" s="103">
        <f>ALL!AU39</f>
        <v>200000</v>
      </c>
      <c r="E38" s="105">
        <f>ALL!AV39</f>
        <v>1335000</v>
      </c>
      <c r="F38" s="103">
        <f>ALL!AW39</f>
        <v>15000</v>
      </c>
      <c r="G38" s="105">
        <f>ALL!AX39</f>
        <v>181808</v>
      </c>
      <c r="H38" s="103">
        <f>ALL!AY39</f>
        <v>100000</v>
      </c>
      <c r="I38" s="105">
        <f>ALL!AZ39</f>
        <v>0</v>
      </c>
      <c r="J38" s="105">
        <f>ALL!BA39</f>
        <v>1017792</v>
      </c>
    </row>
    <row r="39" spans="1:10" x14ac:dyDescent="0.25">
      <c r="A39" s="147">
        <f>ALL!B40</f>
        <v>37</v>
      </c>
      <c r="B39" s="103" t="str">
        <f>ALL!C40</f>
        <v>Faridah, M.Pd.</v>
      </c>
      <c r="C39" s="141">
        <v>3015118449</v>
      </c>
      <c r="D39" s="103">
        <f>ALL!AU40</f>
        <v>200000</v>
      </c>
      <c r="E39" s="105">
        <f>ALL!AV40</f>
        <v>0</v>
      </c>
      <c r="F39" s="103">
        <f>ALL!AW40</f>
        <v>15000</v>
      </c>
      <c r="G39" s="105">
        <f>ALL!AX40</f>
        <v>90904</v>
      </c>
      <c r="H39" s="103">
        <f>ALL!AY40</f>
        <v>200000</v>
      </c>
      <c r="I39" s="105">
        <f>ALL!AZ40</f>
        <v>0</v>
      </c>
      <c r="J39" s="105">
        <f>ALL!BA40</f>
        <v>2355696</v>
      </c>
    </row>
    <row r="40" spans="1:10" x14ac:dyDescent="0.25">
      <c r="A40" s="147">
        <f>ALL!B23</f>
        <v>20</v>
      </c>
      <c r="B40" s="103" t="str">
        <f>ALL!C23</f>
        <v>Asmal Wafa, S.Pd.</v>
      </c>
      <c r="C40" s="141">
        <f>[4]BPD!$C$72</f>
        <v>3068082713</v>
      </c>
      <c r="D40" s="103">
        <f>ALL!AU23</f>
        <v>0</v>
      </c>
      <c r="E40" s="105">
        <f>ALL!AV23</f>
        <v>0</v>
      </c>
      <c r="F40" s="103">
        <f>ALL!AW23</f>
        <v>15000</v>
      </c>
      <c r="G40" s="105">
        <f>ALL!AX23</f>
        <v>0</v>
      </c>
      <c r="H40" s="103">
        <f>ALL!AY23</f>
        <v>100000</v>
      </c>
      <c r="I40" s="105">
        <f>ALL!AZ23</f>
        <v>0</v>
      </c>
      <c r="J40" s="105">
        <f>ALL!BA23</f>
        <v>3174200</v>
      </c>
    </row>
    <row r="41" spans="1:10" x14ac:dyDescent="0.25">
      <c r="A41" s="147">
        <f>ALL!B41</f>
        <v>38</v>
      </c>
      <c r="B41" s="103" t="str">
        <f>ALL!C41</f>
        <v xml:space="preserve">Faiz Luzmi, S.Pd. </v>
      </c>
      <c r="C41" s="141">
        <v>3093118773</v>
      </c>
      <c r="D41" s="103">
        <f>ALL!AU41</f>
        <v>100000</v>
      </c>
      <c r="E41" s="105">
        <f>ALL!AV41</f>
        <v>0</v>
      </c>
      <c r="F41" s="103">
        <f>ALL!AW41</f>
        <v>15000</v>
      </c>
      <c r="G41" s="105">
        <f>ALL!AX41</f>
        <v>0</v>
      </c>
      <c r="H41" s="103">
        <f>ALL!AY41</f>
        <v>100000</v>
      </c>
      <c r="I41" s="105">
        <f>ALL!AZ41</f>
        <v>0</v>
      </c>
      <c r="J41" s="105">
        <f>ALL!BA41</f>
        <v>2570000</v>
      </c>
    </row>
    <row r="42" spans="1:10" x14ac:dyDescent="0.25">
      <c r="A42" s="147">
        <f>ALL!B43</f>
        <v>40</v>
      </c>
      <c r="B42" s="103" t="str">
        <f>ALL!C43</f>
        <v xml:space="preserve">Novia Aristyana, S.Pd. </v>
      </c>
      <c r="C42" s="141">
        <v>3015118082</v>
      </c>
      <c r="D42" s="103">
        <f>ALL!AU43</f>
        <v>0</v>
      </c>
      <c r="E42" s="105">
        <f>ALL!AV43</f>
        <v>1365500</v>
      </c>
      <c r="F42" s="103">
        <f>ALL!AW43</f>
        <v>15000</v>
      </c>
      <c r="G42" s="105">
        <f>ALL!AX43</f>
        <v>159082</v>
      </c>
      <c r="H42" s="103">
        <f>ALL!AY43</f>
        <v>200000</v>
      </c>
      <c r="I42" s="105">
        <f>ALL!AZ43</f>
        <v>220000</v>
      </c>
      <c r="J42" s="105">
        <f>ALL!BA43</f>
        <v>819218</v>
      </c>
    </row>
    <row r="43" spans="1:10" x14ac:dyDescent="0.25">
      <c r="A43" s="147">
        <f>ALL!B44</f>
        <v>41</v>
      </c>
      <c r="B43" s="103" t="str">
        <f>ALL!C44</f>
        <v>Ngatriatun, S.Pd.</v>
      </c>
      <c r="C43" s="141">
        <v>3015117981</v>
      </c>
      <c r="D43" s="103">
        <f>ALL!AU44</f>
        <v>100000</v>
      </c>
      <c r="E43" s="105">
        <f>ALL!AV44</f>
        <v>1335000</v>
      </c>
      <c r="F43" s="103">
        <f>ALL!AW44</f>
        <v>15000</v>
      </c>
      <c r="G43" s="105">
        <f>ALL!AX44</f>
        <v>136356</v>
      </c>
      <c r="H43" s="103">
        <f>ALL!AY44</f>
        <v>200000</v>
      </c>
      <c r="I43" s="105">
        <f>ALL!AZ44</f>
        <v>0</v>
      </c>
      <c r="J43" s="105">
        <f>ALL!BA44</f>
        <v>1167844</v>
      </c>
    </row>
    <row r="44" spans="1:10" x14ac:dyDescent="0.25">
      <c r="A44" s="147">
        <f>ALL!B45</f>
        <v>42</v>
      </c>
      <c r="B44" s="103" t="str">
        <f>ALL!C45</f>
        <v>Ernawati, M.Pd.</v>
      </c>
      <c r="C44" s="141">
        <v>3015118104</v>
      </c>
      <c r="D44" s="103">
        <f>ALL!AU45</f>
        <v>0</v>
      </c>
      <c r="E44" s="105">
        <f>ALL!AV45</f>
        <v>1335000</v>
      </c>
      <c r="F44" s="103">
        <f>ALL!AW45</f>
        <v>15000</v>
      </c>
      <c r="G44" s="105">
        <f>ALL!AX45</f>
        <v>136356</v>
      </c>
      <c r="H44" s="103">
        <f>ALL!AY45</f>
        <v>200000</v>
      </c>
      <c r="I44" s="105">
        <f>ALL!AZ45</f>
        <v>0</v>
      </c>
      <c r="J44" s="105">
        <f>ALL!BA45</f>
        <v>1332844</v>
      </c>
    </row>
    <row r="45" spans="1:10" x14ac:dyDescent="0.25">
      <c r="A45" s="147">
        <f>ALL!B46</f>
        <v>43</v>
      </c>
      <c r="B45" s="103" t="str">
        <f>ALL!C46</f>
        <v xml:space="preserve">Layla Qodriyyana, S.Pd. </v>
      </c>
      <c r="C45" s="141">
        <v>2015057559</v>
      </c>
      <c r="D45" s="103">
        <f>ALL!AU46</f>
        <v>200000</v>
      </c>
      <c r="E45" s="105">
        <f>ALL!AV46</f>
        <v>1335000</v>
      </c>
      <c r="F45" s="103">
        <f>ALL!AW46</f>
        <v>15000</v>
      </c>
      <c r="G45" s="105">
        <f>ALL!AX46</f>
        <v>113630</v>
      </c>
      <c r="H45" s="103">
        <f>ALL!AY46</f>
        <v>100000</v>
      </c>
      <c r="I45" s="105">
        <f>ALL!AZ46</f>
        <v>545000</v>
      </c>
      <c r="J45" s="105">
        <f>ALL!BA46</f>
        <v>645570</v>
      </c>
    </row>
    <row r="46" spans="1:10" x14ac:dyDescent="0.25">
      <c r="A46" s="147" t="e">
        <f>ALL!#REF!</f>
        <v>#REF!</v>
      </c>
      <c r="B46" s="103" t="e">
        <f>ALL!#REF!</f>
        <v>#REF!</v>
      </c>
      <c r="C46" s="141">
        <v>3015118147</v>
      </c>
      <c r="D46" s="103" t="e">
        <f>ALL!#REF!</f>
        <v>#REF!</v>
      </c>
      <c r="E46" s="105" t="e">
        <f>ALL!#REF!</f>
        <v>#REF!</v>
      </c>
      <c r="F46" s="103" t="e">
        <f>ALL!#REF!</f>
        <v>#REF!</v>
      </c>
      <c r="G46" s="105" t="e">
        <f>ALL!#REF!</f>
        <v>#REF!</v>
      </c>
      <c r="H46" s="103" t="e">
        <f>ALL!#REF!</f>
        <v>#REF!</v>
      </c>
      <c r="I46" s="105" t="e">
        <f>ALL!#REF!</f>
        <v>#REF!</v>
      </c>
      <c r="J46" s="105" t="e">
        <f>ALL!#REF!</f>
        <v>#REF!</v>
      </c>
    </row>
    <row r="47" spans="1:10" x14ac:dyDescent="0.25">
      <c r="A47" s="147">
        <f>ALL!B49</f>
        <v>46</v>
      </c>
      <c r="B47" s="103" t="str">
        <f>ALL!C49</f>
        <v>Sugiyono/Sudarsono</v>
      </c>
      <c r="C47" s="103">
        <v>3015122390</v>
      </c>
      <c r="D47" s="103">
        <f>ALL!AU49</f>
        <v>0</v>
      </c>
      <c r="E47" s="105">
        <f>ALL!AV49</f>
        <v>0</v>
      </c>
      <c r="F47" s="103">
        <f>ALL!AW49</f>
        <v>15000</v>
      </c>
      <c r="G47" s="105">
        <f>ALL!AX49</f>
        <v>90904</v>
      </c>
      <c r="H47" s="103">
        <f>ALL!AY49</f>
        <v>0</v>
      </c>
      <c r="I47" s="105">
        <f>ALL!AZ49</f>
        <v>0</v>
      </c>
      <c r="J47" s="105">
        <f>ALL!BA49</f>
        <v>1207996</v>
      </c>
    </row>
    <row r="48" spans="1:10" x14ac:dyDescent="0.25">
      <c r="A48" s="147">
        <f>ALL!B50</f>
        <v>47</v>
      </c>
      <c r="B48" s="103" t="str">
        <f>ALL!C50</f>
        <v>Mishbahul Ulum, S.Pd.I</v>
      </c>
      <c r="C48" s="141">
        <v>3015118112</v>
      </c>
      <c r="D48" s="103">
        <f>ALL!AU50</f>
        <v>0</v>
      </c>
      <c r="E48" s="105">
        <f>ALL!AV50</f>
        <v>890000</v>
      </c>
      <c r="F48" s="103">
        <f>ALL!AW50</f>
        <v>15000</v>
      </c>
      <c r="G48" s="105">
        <f>ALL!AX50</f>
        <v>136356</v>
      </c>
      <c r="H48" s="103">
        <f>ALL!AY50</f>
        <v>100000</v>
      </c>
      <c r="I48" s="105">
        <f>ALL!AZ50</f>
        <v>220000</v>
      </c>
      <c r="J48" s="105">
        <f>ALL!BA50</f>
        <v>1292844</v>
      </c>
    </row>
    <row r="49" spans="1:10" x14ac:dyDescent="0.25">
      <c r="A49" s="147">
        <f>ALL!B51</f>
        <v>48</v>
      </c>
      <c r="B49" s="103" t="str">
        <f>ALL!C51</f>
        <v>Setiawan</v>
      </c>
      <c r="C49" s="141">
        <v>2015143820</v>
      </c>
      <c r="D49" s="103">
        <f>ALL!AU51</f>
        <v>0</v>
      </c>
      <c r="E49" s="105">
        <f>ALL!AV51</f>
        <v>779000</v>
      </c>
      <c r="F49" s="103">
        <f>ALL!AW51</f>
        <v>15000</v>
      </c>
      <c r="G49" s="105">
        <f>ALL!AX51</f>
        <v>90904</v>
      </c>
      <c r="H49" s="103">
        <f>ALL!AY51</f>
        <v>200000</v>
      </c>
      <c r="I49" s="105">
        <f>ALL!AZ51</f>
        <v>56370</v>
      </c>
      <c r="J49" s="105">
        <f>ALL!BA51</f>
        <v>958326</v>
      </c>
    </row>
    <row r="50" spans="1:10" x14ac:dyDescent="0.25">
      <c r="A50" s="147">
        <f>ALL!B52</f>
        <v>49</v>
      </c>
      <c r="B50" s="103" t="str">
        <f>ALL!C52</f>
        <v>Isniah</v>
      </c>
      <c r="C50" s="141">
        <v>2119024849</v>
      </c>
      <c r="D50" s="103">
        <f>ALL!AU52</f>
        <v>50000</v>
      </c>
      <c r="E50" s="105">
        <f>ALL!AV52</f>
        <v>0</v>
      </c>
      <c r="F50" s="103">
        <f>ALL!AW52</f>
        <v>15000</v>
      </c>
      <c r="G50" s="105">
        <f>ALL!AX52</f>
        <v>68178</v>
      </c>
      <c r="H50" s="103">
        <f>ALL!AY52</f>
        <v>100000</v>
      </c>
      <c r="I50" s="105">
        <f>ALL!AZ52</f>
        <v>0</v>
      </c>
      <c r="J50" s="105">
        <f>ALL!BA52</f>
        <v>1428922</v>
      </c>
    </row>
    <row r="51" spans="1:10" x14ac:dyDescent="0.25">
      <c r="A51" s="147">
        <f>ALL!B53</f>
        <v>50</v>
      </c>
      <c r="B51" s="103" t="str">
        <f>ALL!C53</f>
        <v>Sholikul Hadi</v>
      </c>
      <c r="C51" s="141">
        <v>3015134517</v>
      </c>
      <c r="D51" s="103">
        <f>ALL!AU53</f>
        <v>0</v>
      </c>
      <c r="E51" s="105">
        <f>ALL!AV53</f>
        <v>0</v>
      </c>
      <c r="F51" s="103">
        <f>ALL!AW53</f>
        <v>15000</v>
      </c>
      <c r="G51" s="105">
        <f>ALL!AX53</f>
        <v>90904</v>
      </c>
      <c r="H51" s="103">
        <f>ALL!AY53</f>
        <v>200000</v>
      </c>
      <c r="I51" s="105">
        <f>ALL!AZ53</f>
        <v>0</v>
      </c>
      <c r="J51" s="105">
        <f>ALL!BA53</f>
        <v>1187996</v>
      </c>
    </row>
    <row r="52" spans="1:10" x14ac:dyDescent="0.25">
      <c r="A52" s="147">
        <f>ALL!B54</f>
        <v>51</v>
      </c>
      <c r="B52" s="103" t="str">
        <f>ALL!C54</f>
        <v>Sutarno</v>
      </c>
      <c r="C52" s="141">
        <v>3015134541</v>
      </c>
      <c r="D52" s="103">
        <f>ALL!AU54</f>
        <v>0</v>
      </c>
      <c r="E52" s="105">
        <f>ALL!AV54</f>
        <v>395500</v>
      </c>
      <c r="F52" s="103">
        <f>ALL!AW54</f>
        <v>15000</v>
      </c>
      <c r="G52" s="105">
        <f>ALL!AX54</f>
        <v>113630</v>
      </c>
      <c r="H52" s="103">
        <f>ALL!AY54</f>
        <v>100000</v>
      </c>
      <c r="I52" s="105">
        <f>ALL!AZ54</f>
        <v>0</v>
      </c>
      <c r="J52" s="105">
        <f>ALL!BA54</f>
        <v>1078170</v>
      </c>
    </row>
    <row r="53" spans="1:10" x14ac:dyDescent="0.25">
      <c r="A53" s="147">
        <f>ALL!B55</f>
        <v>52</v>
      </c>
      <c r="B53" s="103" t="str">
        <f>ALL!C55</f>
        <v>Purniawan</v>
      </c>
      <c r="C53" s="141">
        <v>2015144125</v>
      </c>
      <c r="D53" s="103">
        <f>ALL!AU55</f>
        <v>0</v>
      </c>
      <c r="E53" s="105">
        <f>ALL!AV55</f>
        <v>0</v>
      </c>
      <c r="F53" s="103">
        <f>ALL!AW55</f>
        <v>15000</v>
      </c>
      <c r="G53" s="105">
        <f>ALL!AX55</f>
        <v>0</v>
      </c>
      <c r="H53" s="103">
        <f>ALL!AY55</f>
        <v>0</v>
      </c>
      <c r="I53" s="105">
        <f>ALL!AZ55</f>
        <v>0</v>
      </c>
      <c r="J53" s="105">
        <f>ALL!BA55</f>
        <v>1572100</v>
      </c>
    </row>
    <row r="54" spans="1:10" x14ac:dyDescent="0.25">
      <c r="A54" s="147">
        <f>ALL!B56</f>
        <v>53</v>
      </c>
      <c r="B54" s="103" t="str">
        <f>ALL!C56</f>
        <v>Andi Hermawan</v>
      </c>
      <c r="C54" s="141">
        <v>2015144133</v>
      </c>
      <c r="D54" s="103">
        <f>ALL!AU56</f>
        <v>0</v>
      </c>
      <c r="E54" s="105">
        <f>ALL!AV56</f>
        <v>445000</v>
      </c>
      <c r="F54" s="103">
        <f>ALL!AW56</f>
        <v>15000</v>
      </c>
      <c r="G54" s="105">
        <f>ALL!AX56</f>
        <v>0</v>
      </c>
      <c r="H54" s="103">
        <f>ALL!AY56</f>
        <v>0</v>
      </c>
      <c r="I54" s="105">
        <f>ALL!AZ56</f>
        <v>0</v>
      </c>
      <c r="J54" s="105">
        <f>ALL!BA56</f>
        <v>1152700</v>
      </c>
    </row>
    <row r="55" spans="1:10" x14ac:dyDescent="0.25">
      <c r="A55" s="147">
        <f>ALL!B57</f>
        <v>54</v>
      </c>
      <c r="B55" s="103" t="str">
        <f>ALL!C57</f>
        <v>Muhammad Iqbal Romadhon</v>
      </c>
      <c r="C55" s="141">
        <v>2015144176</v>
      </c>
      <c r="D55" s="103">
        <f>ALL!AU57</f>
        <v>0</v>
      </c>
      <c r="E55" s="105">
        <f>ALL!AV57</f>
        <v>0</v>
      </c>
      <c r="F55" s="103">
        <f>ALL!AW57</f>
        <v>15000</v>
      </c>
      <c r="G55" s="105">
        <f>ALL!AX57</f>
        <v>0</v>
      </c>
      <c r="H55" s="103">
        <f>ALL!AY57</f>
        <v>0</v>
      </c>
      <c r="I55" s="105">
        <f>ALL!AZ57</f>
        <v>0</v>
      </c>
      <c r="J55" s="105">
        <f>ALL!BA57</f>
        <v>1508100</v>
      </c>
    </row>
    <row r="56" spans="1:10" x14ac:dyDescent="0.25">
      <c r="A56" s="147">
        <f>ALL!B58</f>
        <v>55</v>
      </c>
      <c r="B56" s="103" t="str">
        <f>ALL!C58</f>
        <v>Muhammad Miftakhur Rosyad</v>
      </c>
      <c r="C56" s="141">
        <v>3015216408</v>
      </c>
      <c r="D56" s="103"/>
      <c r="E56" s="105">
        <f>ALL!AV58</f>
        <v>0</v>
      </c>
      <c r="F56" s="103">
        <f>ALL!AW58</f>
        <v>15000</v>
      </c>
      <c r="G56" s="105">
        <f>ALL!AX58</f>
        <v>0</v>
      </c>
      <c r="H56" s="103">
        <f>ALL!AY58</f>
        <v>0</v>
      </c>
      <c r="I56" s="105">
        <f>ALL!AZ58</f>
        <v>0</v>
      </c>
      <c r="J56" s="105">
        <f>ALL!BA58</f>
        <v>1465200</v>
      </c>
    </row>
    <row r="57" spans="1:10" x14ac:dyDescent="0.25">
      <c r="A57" s="147" t="e">
        <f>ALL!#REF!</f>
        <v>#REF!</v>
      </c>
      <c r="B57" s="103" t="e">
        <f>ALL!#REF!</f>
        <v>#REF!</v>
      </c>
      <c r="C57" s="141">
        <v>2093102081</v>
      </c>
      <c r="D57" s="103"/>
      <c r="E57" s="105" t="e">
        <f>ALL!#REF!</f>
        <v>#REF!</v>
      </c>
      <c r="F57" s="103" t="e">
        <f>ALL!#REF!</f>
        <v>#REF!</v>
      </c>
      <c r="G57" s="105" t="e">
        <f>ALL!#REF!</f>
        <v>#REF!</v>
      </c>
      <c r="H57" s="103" t="e">
        <f>ALL!#REF!</f>
        <v>#REF!</v>
      </c>
      <c r="I57" s="105" t="e">
        <f>ALL!#REF!</f>
        <v>#REF!</v>
      </c>
      <c r="J57" s="105" t="e">
        <f>ALL!#REF!</f>
        <v>#REF!</v>
      </c>
    </row>
    <row r="58" spans="1:10" x14ac:dyDescent="0.25">
      <c r="A58" s="147" t="e">
        <f>ALL!#REF!</f>
        <v>#REF!</v>
      </c>
      <c r="B58" s="103" t="e">
        <f>ALL!#REF!</f>
        <v>#REF!</v>
      </c>
      <c r="C58" s="141">
        <v>2015235091</v>
      </c>
      <c r="D58" s="103"/>
      <c r="E58" s="105" t="e">
        <f>ALL!#REF!</f>
        <v>#REF!</v>
      </c>
      <c r="F58" s="103" t="e">
        <f>ALL!#REF!</f>
        <v>#REF!</v>
      </c>
      <c r="G58" s="105" t="e">
        <f>ALL!#REF!</f>
        <v>#REF!</v>
      </c>
      <c r="H58" s="103" t="e">
        <f>ALL!#REF!</f>
        <v>#REF!</v>
      </c>
      <c r="I58" s="105" t="e">
        <f>ALL!#REF!</f>
        <v>#REF!</v>
      </c>
      <c r="J58" s="105" t="e">
        <f>ALL!#REF!</f>
        <v>#REF!</v>
      </c>
    </row>
    <row r="59" spans="1:10" x14ac:dyDescent="0.25">
      <c r="A59" s="147">
        <f>ALL!B59</f>
        <v>56</v>
      </c>
      <c r="B59" s="103" t="str">
        <f>ALL!C59</f>
        <v>Aminatul Munawwaroh Al Hafidhoh</v>
      </c>
      <c r="C59" s="141">
        <v>3015127766</v>
      </c>
      <c r="D59" s="103">
        <f>ALL!AU59</f>
        <v>0</v>
      </c>
      <c r="E59" s="105">
        <f>ALL!AV59</f>
        <v>0</v>
      </c>
      <c r="F59" s="103">
        <f>ALL!AW59</f>
        <v>15000</v>
      </c>
      <c r="G59" s="105">
        <f>ALL!AX59</f>
        <v>90904</v>
      </c>
      <c r="H59" s="103">
        <f>ALL!AY59</f>
        <v>200000</v>
      </c>
      <c r="I59" s="105">
        <f>ALL!AZ59</f>
        <v>0</v>
      </c>
      <c r="J59" s="105">
        <f>ALL!BA59</f>
        <v>2133296</v>
      </c>
    </row>
    <row r="60" spans="1:10" x14ac:dyDescent="0.25">
      <c r="A60" s="147">
        <f>ALL!B60</f>
        <v>57</v>
      </c>
      <c r="B60" s="103" t="str">
        <f>ALL!C60</f>
        <v>Mufrotul Ulum</v>
      </c>
      <c r="C60" s="141">
        <f>[3]BPD!$D$67</f>
        <v>3119043122</v>
      </c>
      <c r="D60" s="103">
        <f>ALL!AU60</f>
        <v>0</v>
      </c>
      <c r="E60" s="105">
        <f>ALL!AV60</f>
        <v>0</v>
      </c>
      <c r="F60" s="103">
        <f>ALL!AW60</f>
        <v>15000</v>
      </c>
      <c r="G60" s="105">
        <f>ALL!AX60</f>
        <v>22726</v>
      </c>
      <c r="H60" s="103">
        <f>ALL!AY60</f>
        <v>200000</v>
      </c>
      <c r="I60" s="105">
        <f>ALL!AZ60</f>
        <v>440000</v>
      </c>
      <c r="J60" s="105">
        <f>ALL!BA60</f>
        <v>1726674</v>
      </c>
    </row>
    <row r="61" spans="1:10" x14ac:dyDescent="0.25">
      <c r="A61" s="147">
        <f>ALL!B71</f>
        <v>68</v>
      </c>
      <c r="B61" s="103" t="str">
        <f>ALL!C71</f>
        <v>Khotimatul Khusna, S.Pd.I</v>
      </c>
      <c r="C61" s="141">
        <v>3015118155</v>
      </c>
      <c r="D61" s="103">
        <f>ALL!AU71</f>
        <v>0</v>
      </c>
      <c r="E61" s="105">
        <f>ALL!AV71</f>
        <v>537000</v>
      </c>
      <c r="F61" s="103">
        <f>ALL!AW71</f>
        <v>15000</v>
      </c>
      <c r="G61" s="105">
        <f>ALL!AX71</f>
        <v>22726</v>
      </c>
      <c r="H61" s="103">
        <f>ALL!AY71</f>
        <v>100000</v>
      </c>
      <c r="I61" s="105">
        <f>ALL!AZ71</f>
        <v>0</v>
      </c>
      <c r="J61" s="105">
        <f>ALL!BA71</f>
        <v>-386199</v>
      </c>
    </row>
    <row r="62" spans="1:10" x14ac:dyDescent="0.25">
      <c r="A62" s="147">
        <f>ALL!B61</f>
        <v>58</v>
      </c>
      <c r="B62" s="103" t="str">
        <f>ALL!C61</f>
        <v>Nor Umaroh, S.Sy</v>
      </c>
      <c r="C62" s="141">
        <v>3015118031</v>
      </c>
      <c r="D62" s="103">
        <f>ALL!AU61</f>
        <v>0</v>
      </c>
      <c r="E62" s="105">
        <f>ALL!AV61</f>
        <v>805000</v>
      </c>
      <c r="F62" s="103">
        <f>ALL!AW61</f>
        <v>15000</v>
      </c>
      <c r="G62" s="105">
        <f>ALL!AX61</f>
        <v>22726</v>
      </c>
      <c r="H62" s="103">
        <f>ALL!AY61</f>
        <v>100000</v>
      </c>
      <c r="I62" s="105">
        <f>ALL!AZ61</f>
        <v>0</v>
      </c>
      <c r="J62" s="105">
        <f>ALL!BA61</f>
        <v>1196474</v>
      </c>
    </row>
    <row r="63" spans="1:10" x14ac:dyDescent="0.25">
      <c r="A63" s="147" t="e">
        <f>ALL!#REF!</f>
        <v>#REF!</v>
      </c>
      <c r="B63" s="103" t="e">
        <f>ALL!#REF!</f>
        <v>#REF!</v>
      </c>
      <c r="C63" s="141">
        <v>2093036819</v>
      </c>
      <c r="D63" s="103" t="e">
        <f>ALL!#REF!</f>
        <v>#REF!</v>
      </c>
      <c r="E63" s="105" t="e">
        <f>ALL!#REF!</f>
        <v>#REF!</v>
      </c>
      <c r="F63" s="103" t="e">
        <f>ALL!#REF!</f>
        <v>#REF!</v>
      </c>
      <c r="G63" s="105" t="e">
        <f>ALL!#REF!</f>
        <v>#REF!</v>
      </c>
      <c r="H63" s="103" t="e">
        <f>ALL!#REF!</f>
        <v>#REF!</v>
      </c>
      <c r="I63" s="105" t="e">
        <f>ALL!#REF!</f>
        <v>#REF!</v>
      </c>
      <c r="J63" s="105" t="e">
        <f>ALL!#REF!</f>
        <v>#REF!</v>
      </c>
    </row>
    <row r="64" spans="1:10" x14ac:dyDescent="0.25">
      <c r="A64" s="147">
        <f>ALL!B62</f>
        <v>59</v>
      </c>
      <c r="B64" s="103" t="str">
        <f>ALL!C62</f>
        <v>Umi Hanik</v>
      </c>
      <c r="C64" s="141">
        <v>3015147597</v>
      </c>
      <c r="D64" s="103">
        <f>ALL!AU62</f>
        <v>0</v>
      </c>
      <c r="E64" s="105">
        <f>ALL!AV62</f>
        <v>0</v>
      </c>
      <c r="F64" s="103">
        <f>ALL!AW62</f>
        <v>15000</v>
      </c>
      <c r="G64" s="105">
        <f>ALL!AX62</f>
        <v>0</v>
      </c>
      <c r="H64" s="103">
        <f>ALL!AY62</f>
        <v>0</v>
      </c>
      <c r="I64" s="105">
        <f>ALL!AZ62</f>
        <v>0</v>
      </c>
      <c r="J64" s="105">
        <f>ALL!BA62</f>
        <v>2089600</v>
      </c>
    </row>
    <row r="65" spans="1:10" x14ac:dyDescent="0.25">
      <c r="A65" s="147">
        <f>ALL!B63</f>
        <v>60</v>
      </c>
      <c r="B65" s="103" t="str">
        <f>ALL!C63</f>
        <v>Wahyuti, Al Hafidhoh</v>
      </c>
      <c r="C65" s="141">
        <f>[3]BPD!$D$69</f>
        <v>3015146868</v>
      </c>
      <c r="D65" s="103">
        <f>ALL!AU63</f>
        <v>0</v>
      </c>
      <c r="E65" s="105">
        <f>ALL!AV63</f>
        <v>941500</v>
      </c>
      <c r="F65" s="103">
        <f>ALL!AW63</f>
        <v>15000</v>
      </c>
      <c r="G65" s="105">
        <f>ALL!AX63</f>
        <v>0</v>
      </c>
      <c r="H65" s="103">
        <f>ALL!AY63</f>
        <v>300000</v>
      </c>
      <c r="I65" s="105">
        <f>ALL!AZ63</f>
        <v>0</v>
      </c>
      <c r="J65" s="105">
        <f>ALL!BA63</f>
        <v>884500</v>
      </c>
    </row>
    <row r="66" spans="1:10" x14ac:dyDescent="0.25">
      <c r="A66" s="147">
        <f>ALL!B64</f>
        <v>61</v>
      </c>
      <c r="B66" s="103" t="str">
        <f>ALL!C64</f>
        <v>Shoutul Hidayah Al Hafidhoh</v>
      </c>
      <c r="C66" s="141">
        <v>2119022269</v>
      </c>
      <c r="D66" s="103">
        <f>ALL!AU64</f>
        <v>0</v>
      </c>
      <c r="E66" s="105">
        <f>ALL!AV64</f>
        <v>664500</v>
      </c>
      <c r="F66" s="103">
        <f>ALL!AW64</f>
        <v>15000</v>
      </c>
      <c r="G66" s="105">
        <f>ALL!AX64</f>
        <v>68178</v>
      </c>
      <c r="H66" s="103">
        <f>ALL!AY64</f>
        <v>200000</v>
      </c>
      <c r="I66" s="105">
        <f>ALL!AZ64</f>
        <v>0</v>
      </c>
      <c r="J66" s="105">
        <f>ALL!BA64</f>
        <v>1492522</v>
      </c>
    </row>
    <row r="67" spans="1:10" x14ac:dyDescent="0.25">
      <c r="A67" s="147">
        <f>ALL!B65</f>
        <v>62</v>
      </c>
      <c r="B67" s="103" t="str">
        <f>ALL!C65</f>
        <v>Alfi Syafa'atin Al Hafidhoh</v>
      </c>
      <c r="C67" s="103">
        <v>2015153680</v>
      </c>
      <c r="D67" s="103">
        <f>ALL!AU65</f>
        <v>0</v>
      </c>
      <c r="E67" s="105">
        <f>ALL!AV65</f>
        <v>0</v>
      </c>
      <c r="F67" s="103">
        <f>ALL!AW65</f>
        <v>15000</v>
      </c>
      <c r="G67" s="105">
        <f>ALL!AX65</f>
        <v>0</v>
      </c>
      <c r="H67" s="103">
        <f>ALL!AY65</f>
        <v>100000</v>
      </c>
      <c r="I67" s="105">
        <f>ALL!AZ65</f>
        <v>0</v>
      </c>
      <c r="J67" s="105">
        <f>ALL!BA65</f>
        <v>2094000</v>
      </c>
    </row>
    <row r="68" spans="1:10" x14ac:dyDescent="0.25">
      <c r="A68" s="147">
        <f>ALL!B66</f>
        <v>63</v>
      </c>
      <c r="B68" s="103" t="str">
        <f>ALL!C66</f>
        <v>Ulya Nailus Saadah Al Hafidhoh</v>
      </c>
      <c r="C68" s="141">
        <f>[3]BPD!$D$68</f>
        <v>3119045036</v>
      </c>
      <c r="D68" s="103">
        <f>ALL!AU66</f>
        <v>0</v>
      </c>
      <c r="E68" s="105">
        <f>ALL!AV66</f>
        <v>0</v>
      </c>
      <c r="F68" s="103">
        <f>ALL!AW66</f>
        <v>15000</v>
      </c>
      <c r="G68" s="105">
        <f>ALL!AX66</f>
        <v>0</v>
      </c>
      <c r="H68" s="103">
        <f>ALL!AY66</f>
        <v>200000</v>
      </c>
      <c r="I68" s="105">
        <f>ALL!AZ66</f>
        <v>0</v>
      </c>
      <c r="J68" s="105">
        <f>ALL!BA66</f>
        <v>1800000</v>
      </c>
    </row>
    <row r="69" spans="1:10" x14ac:dyDescent="0.25">
      <c r="A69" s="147">
        <f>ALL!B67</f>
        <v>64</v>
      </c>
      <c r="B69" s="103" t="str">
        <f>ALL!C67</f>
        <v>Rochmatun, S.Sy</v>
      </c>
      <c r="C69" s="141">
        <v>2119033881</v>
      </c>
      <c r="D69" s="103">
        <f>ALL!AU67</f>
        <v>0</v>
      </c>
      <c r="E69" s="105">
        <f>ALL!AV67</f>
        <v>0</v>
      </c>
      <c r="F69" s="103">
        <f>ALL!AW67</f>
        <v>15000</v>
      </c>
      <c r="G69" s="105">
        <f>ALL!AX67</f>
        <v>0</v>
      </c>
      <c r="H69" s="103">
        <f>ALL!AY67</f>
        <v>0</v>
      </c>
      <c r="I69" s="105">
        <f>ALL!AZ67</f>
        <v>0</v>
      </c>
      <c r="J69" s="105">
        <f>ALL!BA67</f>
        <v>2074200</v>
      </c>
    </row>
    <row r="70" spans="1:10" x14ac:dyDescent="0.25">
      <c r="A70" s="147">
        <f>ALL!B68</f>
        <v>65</v>
      </c>
      <c r="B70" s="103" t="str">
        <f>ALL!C68</f>
        <v>Zeni Nur Lathifah, S.Ag Al Hafidhoh</v>
      </c>
      <c r="C70" s="103">
        <v>2015168997</v>
      </c>
      <c r="D70" s="103">
        <f>ALL!AU68</f>
        <v>0</v>
      </c>
      <c r="E70" s="105">
        <f>ALL!AV68</f>
        <v>0</v>
      </c>
      <c r="F70" s="103">
        <f>ALL!AW68</f>
        <v>15000</v>
      </c>
      <c r="G70" s="105">
        <f>ALL!AX68</f>
        <v>0</v>
      </c>
      <c r="H70" s="103">
        <f>ALL!AY68</f>
        <v>200000</v>
      </c>
      <c r="I70" s="105">
        <f>ALL!AZ68</f>
        <v>0</v>
      </c>
      <c r="J70" s="105">
        <f>ALL!BA68</f>
        <v>1970000</v>
      </c>
    </row>
    <row r="71" spans="1:10" x14ac:dyDescent="0.25">
      <c r="A71" s="147">
        <f>ALL!B69</f>
        <v>66</v>
      </c>
      <c r="B71" s="103" t="str">
        <f>ALL!C69</f>
        <v>M. Zaim Darojat, S.Pd Al hafidz</v>
      </c>
      <c r="C71" s="103">
        <v>2015168971</v>
      </c>
      <c r="D71" s="103">
        <f>ALL!AU69</f>
        <v>0</v>
      </c>
      <c r="E71" s="105">
        <f>ALL!AV69</f>
        <v>0</v>
      </c>
      <c r="F71" s="103">
        <f>ALL!AW69</f>
        <v>15000</v>
      </c>
      <c r="G71" s="105">
        <f>ALL!AX69</f>
        <v>0</v>
      </c>
      <c r="H71" s="103">
        <f>ALL!AY69</f>
        <v>100000</v>
      </c>
      <c r="I71" s="105">
        <f>ALL!AZ69</f>
        <v>0</v>
      </c>
      <c r="J71" s="105">
        <f>ALL!BA69</f>
        <v>2104600</v>
      </c>
    </row>
    <row r="72" spans="1:10" x14ac:dyDescent="0.25">
      <c r="A72" s="147">
        <f>ALL!B72</f>
        <v>69</v>
      </c>
      <c r="B72" s="103" t="str">
        <f>ALL!C72</f>
        <v>Zulfaa, S.Ag</v>
      </c>
      <c r="C72" s="141">
        <f>[3]BPD!$D$70</f>
        <v>3015146060</v>
      </c>
      <c r="D72" s="103">
        <f>ALL!AU72</f>
        <v>0</v>
      </c>
      <c r="E72" s="105">
        <f>ALL!AV72</f>
        <v>0</v>
      </c>
      <c r="F72" s="103">
        <f>ALL!AW72</f>
        <v>15000</v>
      </c>
      <c r="G72" s="105">
        <f>ALL!AX72</f>
        <v>0</v>
      </c>
      <c r="H72" s="103">
        <f>ALL!AY72</f>
        <v>0</v>
      </c>
      <c r="I72" s="105">
        <f>ALL!AZ72</f>
        <v>0</v>
      </c>
      <c r="J72" s="105">
        <f>ALL!BA72</f>
        <v>153500</v>
      </c>
    </row>
    <row r="73" spans="1:10" x14ac:dyDescent="0.25">
      <c r="A73" s="147">
        <f>ALL!B73</f>
        <v>70</v>
      </c>
      <c r="B73" s="103" t="str">
        <f>ALL!C73</f>
        <v>Abdulloh Hafidh</v>
      </c>
      <c r="C73" s="141">
        <v>2015057346</v>
      </c>
      <c r="D73" s="103">
        <f>ALL!AU73</f>
        <v>0</v>
      </c>
      <c r="E73" s="105">
        <f>ALL!AV73</f>
        <v>0</v>
      </c>
      <c r="F73" s="103">
        <f>ALL!AW73</f>
        <v>0</v>
      </c>
      <c r="G73" s="105">
        <f>ALL!AX73</f>
        <v>0</v>
      </c>
      <c r="H73" s="103">
        <f>ALL!AY73</f>
        <v>0</v>
      </c>
      <c r="I73" s="105">
        <f>ALL!AZ73</f>
        <v>0</v>
      </c>
      <c r="J73" s="105">
        <f>ALL!BA73</f>
        <v>400000</v>
      </c>
    </row>
    <row r="74" spans="1:10" x14ac:dyDescent="0.25">
      <c r="A74" s="147">
        <f>ALL!B75</f>
        <v>72</v>
      </c>
      <c r="B74" s="103" t="str">
        <f>ALL!C75</f>
        <v>Evana A'isatus Zahro, S.Pd</v>
      </c>
      <c r="C74" s="141">
        <v>3015117965</v>
      </c>
      <c r="D74" s="103">
        <f>ALL!AU75</f>
        <v>0</v>
      </c>
      <c r="E74" s="105">
        <f>ALL!AV75</f>
        <v>0</v>
      </c>
      <c r="F74" s="103">
        <f>ALL!AW75</f>
        <v>15000</v>
      </c>
      <c r="G74" s="105">
        <f>ALL!AX75</f>
        <v>90904</v>
      </c>
      <c r="H74" s="103">
        <f>ALL!AY75</f>
        <v>0</v>
      </c>
      <c r="I74" s="105">
        <f>ALL!AZ75</f>
        <v>0</v>
      </c>
      <c r="J74" s="105">
        <f>ALL!BA75</f>
        <v>3077896</v>
      </c>
    </row>
    <row r="75" spans="1:10" x14ac:dyDescent="0.25">
      <c r="A75" s="147">
        <f>ALL!B76</f>
        <v>73</v>
      </c>
      <c r="B75" s="103" t="str">
        <f>ALL!C76</f>
        <v>Isni Mafruchatun Nisa, S.Pd</v>
      </c>
      <c r="C75" s="141">
        <v>3015168799</v>
      </c>
      <c r="D75" s="103">
        <f>ALL!AU76</f>
        <v>0</v>
      </c>
      <c r="E75" s="105">
        <f>ALL!AV76</f>
        <v>0</v>
      </c>
      <c r="F75" s="103">
        <f>ALL!AW76</f>
        <v>15000</v>
      </c>
      <c r="G75" s="105">
        <f>ALL!AX76</f>
        <v>0</v>
      </c>
      <c r="H75" s="103">
        <f>ALL!AY76</f>
        <v>0</v>
      </c>
      <c r="I75" s="105">
        <f>ALL!AZ76</f>
        <v>0</v>
      </c>
      <c r="J75" s="105">
        <f>ALL!BA76</f>
        <v>1918600</v>
      </c>
    </row>
    <row r="76" spans="1:10" x14ac:dyDescent="0.25">
      <c r="A76" s="147">
        <f>ALL!B77</f>
        <v>74</v>
      </c>
      <c r="B76" s="103" t="str">
        <f>ALL!C77</f>
        <v>Ikhda Khoirotus Syifa, S.Pd</v>
      </c>
      <c r="C76" s="103">
        <v>2015167338</v>
      </c>
      <c r="D76" s="103">
        <f>ALL!AU77</f>
        <v>0</v>
      </c>
      <c r="E76" s="105">
        <f>ALL!AV77</f>
        <v>0</v>
      </c>
      <c r="F76" s="103">
        <f>ALL!AW77</f>
        <v>15000</v>
      </c>
      <c r="G76" s="105">
        <f>ALL!AX77</f>
        <v>0</v>
      </c>
      <c r="H76" s="103">
        <f>ALL!AY77</f>
        <v>200000</v>
      </c>
      <c r="I76" s="105">
        <f>ALL!AZ77</f>
        <v>0</v>
      </c>
      <c r="J76" s="105">
        <f>ALL!BA77</f>
        <v>2505000</v>
      </c>
    </row>
    <row r="77" spans="1:10" x14ac:dyDescent="0.25">
      <c r="A77" s="147">
        <f>ALL!B78</f>
        <v>75</v>
      </c>
      <c r="B77" s="103" t="str">
        <f>ALL!C78</f>
        <v>Siti Mardliyah, M.Pd</v>
      </c>
      <c r="C77" s="141">
        <v>3015134533</v>
      </c>
      <c r="D77" s="103">
        <f>ALL!AU78</f>
        <v>0</v>
      </c>
      <c r="E77" s="105">
        <f>ALL!AV78</f>
        <v>1317500</v>
      </c>
      <c r="F77" s="103">
        <f>ALL!AW78</f>
        <v>15000</v>
      </c>
      <c r="G77" s="105">
        <f>ALL!AX78</f>
        <v>136356</v>
      </c>
      <c r="H77" s="103">
        <f>ALL!AY78</f>
        <v>200000</v>
      </c>
      <c r="I77" s="105">
        <f>ALL!AZ78</f>
        <v>0</v>
      </c>
      <c r="J77" s="105">
        <f>ALL!BA78</f>
        <v>1594344</v>
      </c>
    </row>
    <row r="78" spans="1:10" x14ac:dyDescent="0.25">
      <c r="A78" s="147">
        <f>ALL!B79</f>
        <v>76</v>
      </c>
      <c r="B78" s="103" t="str">
        <f>ALL!C79</f>
        <v>Anggun Monika Lestari, S.Pd</v>
      </c>
      <c r="C78" s="141">
        <v>2119027210</v>
      </c>
      <c r="D78" s="103">
        <f>ALL!AU79</f>
        <v>100000</v>
      </c>
      <c r="E78" s="105">
        <f>ALL!AV79</f>
        <v>923000</v>
      </c>
      <c r="F78" s="103">
        <f>ALL!AW79</f>
        <v>15000</v>
      </c>
      <c r="G78" s="105">
        <f>ALL!AX79</f>
        <v>0</v>
      </c>
      <c r="H78" s="103">
        <f>ALL!AY79</f>
        <v>0</v>
      </c>
      <c r="I78" s="105">
        <f>ALL!AZ79</f>
        <v>220000</v>
      </c>
      <c r="J78" s="105">
        <f>ALL!BA79</f>
        <v>1320500</v>
      </c>
    </row>
    <row r="79" spans="1:10" x14ac:dyDescent="0.25">
      <c r="A79" s="147">
        <f>ALL!B80</f>
        <v>77</v>
      </c>
      <c r="B79" s="103" t="str">
        <f>ALL!C80</f>
        <v>Muhammad Wahyu Wibowo, S.Pd</v>
      </c>
      <c r="C79" s="141">
        <v>3015168772</v>
      </c>
      <c r="D79" s="103">
        <f>ALL!AU80</f>
        <v>0</v>
      </c>
      <c r="E79" s="105">
        <f>ALL!AV80</f>
        <v>0</v>
      </c>
      <c r="F79" s="103">
        <f>ALL!AW80</f>
        <v>15000</v>
      </c>
      <c r="G79" s="105">
        <f>ALL!AX80</f>
        <v>22726</v>
      </c>
      <c r="H79" s="103">
        <f>ALL!AY80</f>
        <v>0</v>
      </c>
      <c r="I79" s="105">
        <f>ALL!AZ80</f>
        <v>0</v>
      </c>
      <c r="J79" s="105">
        <f>ALL!BA80</f>
        <v>2753274</v>
      </c>
    </row>
    <row r="80" spans="1:10" x14ac:dyDescent="0.25">
      <c r="A80" s="147">
        <f>ALL!B81</f>
        <v>78</v>
      </c>
      <c r="B80" s="103" t="str">
        <f>ALL!C81</f>
        <v>Fajriyatuz Zahroh, S.Pd</v>
      </c>
      <c r="C80" s="141">
        <v>3015168756</v>
      </c>
      <c r="D80" s="103">
        <f>ALL!AU81</f>
        <v>100000</v>
      </c>
      <c r="E80" s="105">
        <f>ALL!AV81</f>
        <v>0</v>
      </c>
      <c r="F80" s="103">
        <f>ALL!AW81</f>
        <v>15000</v>
      </c>
      <c r="G80" s="105">
        <f>ALL!AX81</f>
        <v>0</v>
      </c>
      <c r="H80" s="103">
        <f>ALL!AY81</f>
        <v>0</v>
      </c>
      <c r="I80" s="105">
        <f>ALL!AZ81</f>
        <v>0</v>
      </c>
      <c r="J80" s="105">
        <f>ALL!BA81</f>
        <v>2739600</v>
      </c>
    </row>
    <row r="81" spans="1:10" x14ac:dyDescent="0.25">
      <c r="A81" s="147">
        <f>ALL!B82</f>
        <v>79</v>
      </c>
      <c r="B81" s="103" t="str">
        <f>ALL!C82</f>
        <v>Ratna Prasetyowati, S.Pd</v>
      </c>
      <c r="C81" s="141">
        <v>3015118066</v>
      </c>
      <c r="D81" s="103">
        <f>ALL!AU82</f>
        <v>0</v>
      </c>
      <c r="E81" s="105">
        <f>ALL!AV82</f>
        <v>0</v>
      </c>
      <c r="F81" s="103">
        <f>ALL!AW82</f>
        <v>15000</v>
      </c>
      <c r="G81" s="105">
        <f>ALL!AX82</f>
        <v>113630</v>
      </c>
      <c r="H81" s="103">
        <f>ALL!AY82</f>
        <v>0</v>
      </c>
      <c r="I81" s="105">
        <f>ALL!AZ82</f>
        <v>0</v>
      </c>
      <c r="J81" s="105">
        <f>ALL!BA82</f>
        <v>2336770</v>
      </c>
    </row>
    <row r="82" spans="1:10" x14ac:dyDescent="0.25">
      <c r="A82" s="147">
        <f>ALL!B83</f>
        <v>80</v>
      </c>
      <c r="B82" s="103" t="str">
        <f>ALL!C83</f>
        <v>Ani Nur Wasiah, M.Pd</v>
      </c>
      <c r="C82" s="141">
        <v>2015141576</v>
      </c>
      <c r="D82" s="103">
        <f>ALL!AU83</f>
        <v>0</v>
      </c>
      <c r="E82" s="105">
        <f>ALL!AV83</f>
        <v>0</v>
      </c>
      <c r="F82" s="103">
        <f>ALL!AW83</f>
        <v>15000</v>
      </c>
      <c r="G82" s="105">
        <f>ALL!AX83</f>
        <v>45452</v>
      </c>
      <c r="H82" s="103">
        <f>ALL!AY83</f>
        <v>0</v>
      </c>
      <c r="I82" s="105">
        <f>ALL!AZ83</f>
        <v>325000</v>
      </c>
      <c r="J82" s="105">
        <f>ALL!BA83</f>
        <v>2741148</v>
      </c>
    </row>
    <row r="83" spans="1:10" x14ac:dyDescent="0.25">
      <c r="A83" s="147">
        <f>ALL!B84</f>
        <v>81</v>
      </c>
      <c r="B83" s="103" t="str">
        <f>ALL!C84</f>
        <v>Nurul Hidayatur Rohmah, S.Pd</v>
      </c>
      <c r="C83" s="103">
        <v>2015190089</v>
      </c>
      <c r="D83" s="103">
        <f>ALL!AU84</f>
        <v>0</v>
      </c>
      <c r="E83" s="105">
        <f>ALL!AV84</f>
        <v>0</v>
      </c>
      <c r="F83" s="103">
        <f>ALL!AW84</f>
        <v>15000</v>
      </c>
      <c r="G83" s="105">
        <f>ALL!AX84</f>
        <v>0</v>
      </c>
      <c r="H83" s="103">
        <f>ALL!AY84</f>
        <v>0</v>
      </c>
      <c r="I83" s="105">
        <f>ALL!AZ84</f>
        <v>0</v>
      </c>
      <c r="J83" s="105">
        <f>ALL!BA84</f>
        <v>2965200</v>
      </c>
    </row>
    <row r="84" spans="1:10" x14ac:dyDescent="0.25">
      <c r="A84" s="147">
        <f>ALL!B85</f>
        <v>82</v>
      </c>
      <c r="B84" s="103" t="str">
        <f>ALL!C85</f>
        <v>Fadzel Muhammad Rifandi, S.Pd</v>
      </c>
      <c r="C84" s="103">
        <v>2015190119</v>
      </c>
      <c r="D84" s="103">
        <f>ALL!AU85</f>
        <v>0</v>
      </c>
      <c r="E84" s="105">
        <f>ALL!AV85</f>
        <v>0</v>
      </c>
      <c r="F84" s="103">
        <f>ALL!AW85</f>
        <v>15000</v>
      </c>
      <c r="G84" s="105">
        <f>ALL!AX85</f>
        <v>0</v>
      </c>
      <c r="H84" s="103">
        <f>ALL!AY85</f>
        <v>0</v>
      </c>
      <c r="I84" s="105">
        <f>ALL!AZ85</f>
        <v>0</v>
      </c>
      <c r="J84" s="105">
        <f>ALL!BA85</f>
        <v>2025600</v>
      </c>
    </row>
    <row r="85" spans="1:10" x14ac:dyDescent="0.25">
      <c r="A85" s="147" t="e">
        <f>ALL!#REF!</f>
        <v>#REF!</v>
      </c>
      <c r="B85" s="103" t="e">
        <f>ALL!#REF!</f>
        <v>#REF!</v>
      </c>
      <c r="C85" s="103">
        <v>2068061582</v>
      </c>
      <c r="D85" s="103" t="e">
        <f>ALL!#REF!</f>
        <v>#REF!</v>
      </c>
      <c r="E85" s="105" t="e">
        <f>ALL!#REF!</f>
        <v>#REF!</v>
      </c>
      <c r="F85" s="103" t="e">
        <f>ALL!#REF!</f>
        <v>#REF!</v>
      </c>
      <c r="G85" s="105" t="e">
        <f>ALL!#REF!</f>
        <v>#REF!</v>
      </c>
      <c r="H85" s="103" t="e">
        <f>ALL!#REF!</f>
        <v>#REF!</v>
      </c>
      <c r="I85" s="105" t="e">
        <f>ALL!#REF!</f>
        <v>#REF!</v>
      </c>
      <c r="J85" s="105" t="e">
        <f>ALL!#REF!</f>
        <v>#REF!</v>
      </c>
    </row>
    <row r="86" spans="1:10" x14ac:dyDescent="0.25">
      <c r="A86" s="147" t="e">
        <f>ALL!#REF!</f>
        <v>#REF!</v>
      </c>
      <c r="B86" s="103" t="e">
        <f>ALL!#REF!</f>
        <v>#REF!</v>
      </c>
      <c r="C86" s="103">
        <v>2015190101</v>
      </c>
      <c r="D86" s="103" t="e">
        <f>ALL!#REF!</f>
        <v>#REF!</v>
      </c>
      <c r="E86" s="105" t="e">
        <f>ALL!#REF!</f>
        <v>#REF!</v>
      </c>
      <c r="F86" s="103" t="e">
        <f>ALL!#REF!</f>
        <v>#REF!</v>
      </c>
      <c r="G86" s="105" t="e">
        <f>ALL!#REF!</f>
        <v>#REF!</v>
      </c>
      <c r="H86" s="103" t="e">
        <f>ALL!#REF!</f>
        <v>#REF!</v>
      </c>
      <c r="I86" s="105" t="e">
        <f>ALL!#REF!</f>
        <v>#REF!</v>
      </c>
      <c r="J86" s="105" t="e">
        <f>ALL!#REF!</f>
        <v>#REF!</v>
      </c>
    </row>
    <row r="87" spans="1:10" x14ac:dyDescent="0.25">
      <c r="A87" s="147">
        <f>ALL!B87</f>
        <v>84</v>
      </c>
      <c r="B87" s="103" t="str">
        <f>ALL!C87</f>
        <v>Heni Ari Hidayah, S.Pd</v>
      </c>
      <c r="C87" s="141">
        <v>3015169582</v>
      </c>
      <c r="D87" s="103">
        <f>ALL!AU87</f>
        <v>100000</v>
      </c>
      <c r="E87" s="105">
        <f>ALL!AV87</f>
        <v>1138000</v>
      </c>
      <c r="F87" s="103">
        <f>ALL!AW87</f>
        <v>15000</v>
      </c>
      <c r="G87" s="105">
        <f>ALL!AX87</f>
        <v>90904</v>
      </c>
      <c r="H87" s="103">
        <f>ALL!AY87</f>
        <v>100000</v>
      </c>
      <c r="I87" s="105">
        <f>ALL!AZ87</f>
        <v>0</v>
      </c>
      <c r="J87" s="105">
        <f>ALL!BA87</f>
        <v>1536496</v>
      </c>
    </row>
    <row r="88" spans="1:10" x14ac:dyDescent="0.25">
      <c r="A88" s="147" t="e">
        <f>ALL!#REF!</f>
        <v>#REF!</v>
      </c>
      <c r="B88" s="103" t="e">
        <f>ALL!#REF!</f>
        <v>#REF!</v>
      </c>
      <c r="C88" s="144">
        <v>2119064646</v>
      </c>
      <c r="D88" s="103" t="e">
        <f>ALL!#REF!</f>
        <v>#REF!</v>
      </c>
      <c r="E88" s="105" t="e">
        <f>ALL!#REF!</f>
        <v>#REF!</v>
      </c>
      <c r="F88" s="103" t="e">
        <f>ALL!#REF!</f>
        <v>#REF!</v>
      </c>
      <c r="G88" s="105" t="e">
        <f>ALL!#REF!</f>
        <v>#REF!</v>
      </c>
      <c r="H88" s="103" t="e">
        <f>ALL!#REF!</f>
        <v>#REF!</v>
      </c>
      <c r="I88" s="105" t="e">
        <f>ALL!#REF!</f>
        <v>#REF!</v>
      </c>
      <c r="J88" s="105" t="e">
        <f>ALL!#REF!</f>
        <v>#REF!</v>
      </c>
    </row>
    <row r="89" spans="1:10" x14ac:dyDescent="0.25">
      <c r="A89" s="147">
        <f>ALL!B89</f>
        <v>86</v>
      </c>
      <c r="B89" s="103" t="str">
        <f>ALL!C89</f>
        <v>Hananingtyas Hapsari</v>
      </c>
      <c r="C89" s="145">
        <v>2015227756</v>
      </c>
      <c r="D89" s="103">
        <f>ALL!AU89</f>
        <v>0</v>
      </c>
      <c r="E89" s="105">
        <f>ALL!AV89</f>
        <v>0</v>
      </c>
      <c r="F89" s="103">
        <f>ALL!AW89</f>
        <v>15000</v>
      </c>
      <c r="G89" s="105">
        <f>ALL!AX89</f>
        <v>0</v>
      </c>
      <c r="H89" s="103">
        <f>ALL!AY89</f>
        <v>0</v>
      </c>
      <c r="I89" s="105">
        <f>ALL!AZ89</f>
        <v>0</v>
      </c>
      <c r="J89" s="105">
        <f>ALL!BA89</f>
        <v>2094600</v>
      </c>
    </row>
    <row r="90" spans="1:10" x14ac:dyDescent="0.25">
      <c r="A90" s="147">
        <f>ALL!B92</f>
        <v>89</v>
      </c>
      <c r="B90" s="103" t="str">
        <f>ALL!C92</f>
        <v>Harisatul Hidayati, S.Pd.I</v>
      </c>
      <c r="C90" s="103">
        <v>3119056518</v>
      </c>
      <c r="D90" s="103">
        <f>ALL!AU92</f>
        <v>0</v>
      </c>
      <c r="E90" s="105">
        <f>ALL!AV92</f>
        <v>0</v>
      </c>
      <c r="F90" s="103">
        <f>ALL!AW92</f>
        <v>15000</v>
      </c>
      <c r="G90" s="105">
        <f>ALL!AX92</f>
        <v>0</v>
      </c>
      <c r="H90" s="103">
        <f>ALL!AY92</f>
        <v>300000</v>
      </c>
      <c r="I90" s="105">
        <f>ALL!AZ92</f>
        <v>0</v>
      </c>
      <c r="J90" s="105">
        <f>ALL!BA92</f>
        <v>-287700</v>
      </c>
    </row>
    <row r="91" spans="1:10" x14ac:dyDescent="0.25">
      <c r="A91" s="147">
        <f>ALL!B93</f>
        <v>90</v>
      </c>
      <c r="B91" s="103" t="str">
        <f>ALL!C93</f>
        <v>Nilna Maulidatul Wafa</v>
      </c>
      <c r="C91" s="145">
        <v>208093522</v>
      </c>
      <c r="D91" s="103">
        <f>ALL!AU93</f>
        <v>0</v>
      </c>
      <c r="E91" s="105">
        <f>ALL!AV93</f>
        <v>0</v>
      </c>
      <c r="F91" s="103">
        <f>ALL!AW93</f>
        <v>0</v>
      </c>
      <c r="G91" s="105">
        <f>ALL!AX93</f>
        <v>0</v>
      </c>
      <c r="H91" s="103">
        <f>ALL!AY93</f>
        <v>0</v>
      </c>
      <c r="I91" s="105">
        <f>ALL!AZ93</f>
        <v>0</v>
      </c>
      <c r="J91" s="105">
        <f>ALL!BA93</f>
        <v>0</v>
      </c>
    </row>
    <row r="92" spans="1:10" x14ac:dyDescent="0.25">
      <c r="A92" s="147">
        <f>ALL!B94</f>
        <v>91</v>
      </c>
      <c r="B92" s="103" t="str">
        <f>ALL!C94</f>
        <v>Fitrotul Hidayah, S.Pd</v>
      </c>
      <c r="C92" s="145">
        <v>201518385</v>
      </c>
      <c r="D92" s="103">
        <f>ALL!AU94</f>
        <v>0</v>
      </c>
      <c r="E92" s="105">
        <f>ALL!AV94</f>
        <v>0</v>
      </c>
      <c r="F92" s="103">
        <f>ALL!AW94</f>
        <v>0</v>
      </c>
      <c r="G92" s="105">
        <f>ALL!AX94</f>
        <v>0</v>
      </c>
      <c r="H92" s="103">
        <f>ALL!AY94</f>
        <v>0</v>
      </c>
      <c r="I92" s="105">
        <f>ALL!AZ94</f>
        <v>0</v>
      </c>
      <c r="J92" s="105">
        <f>ALL!BA94</f>
        <v>0</v>
      </c>
    </row>
    <row r="93" spans="1:10" x14ac:dyDescent="0.25">
      <c r="A93" s="147">
        <f>ALL!B95</f>
        <v>92</v>
      </c>
      <c r="B93" s="103" t="str">
        <f>ALL!C95</f>
        <v>Zavira Ayu Listiyani</v>
      </c>
      <c r="C93" s="141">
        <f>[4]BPD!$C$73</f>
        <v>3015169981</v>
      </c>
      <c r="D93" s="103">
        <f>ALL!AU95</f>
        <v>0</v>
      </c>
      <c r="E93" s="105">
        <f>ALL!AV95</f>
        <v>779000</v>
      </c>
      <c r="F93" s="103">
        <f>ALL!AW95</f>
        <v>15000</v>
      </c>
      <c r="G93" s="105">
        <f>ALL!AX95</f>
        <v>45452</v>
      </c>
      <c r="H93" s="103">
        <f>ALL!AY95</f>
        <v>0</v>
      </c>
      <c r="I93" s="105">
        <f>ALL!AZ95</f>
        <v>0</v>
      </c>
      <c r="J93" s="105">
        <f>ALL!BA95</f>
        <v>912848</v>
      </c>
    </row>
    <row r="94" spans="1:10" x14ac:dyDescent="0.25">
      <c r="A94" s="147">
        <f>ALL!B96</f>
        <v>93</v>
      </c>
      <c r="B94" s="103" t="str">
        <f>ALL!C96</f>
        <v>Ahmad Ridwan</v>
      </c>
      <c r="C94" s="141">
        <v>2015144184</v>
      </c>
      <c r="D94" s="103">
        <f>ALL!AU96</f>
        <v>0</v>
      </c>
      <c r="E94" s="105">
        <f>ALL!AV96</f>
        <v>0</v>
      </c>
      <c r="F94" s="103">
        <f>ALL!AW96</f>
        <v>15000</v>
      </c>
      <c r="G94" s="105">
        <f>ALL!AX96</f>
        <v>0</v>
      </c>
      <c r="H94" s="103">
        <f>ALL!AY96</f>
        <v>0</v>
      </c>
      <c r="I94" s="105">
        <f>ALL!AZ96</f>
        <v>0</v>
      </c>
      <c r="J94" s="105">
        <f>ALL!BA96</f>
        <v>1537300</v>
      </c>
    </row>
    <row r="95" spans="1:10" x14ac:dyDescent="0.25">
      <c r="A95" s="147">
        <f>ALL!B97</f>
        <v>94</v>
      </c>
      <c r="B95" s="103" t="str">
        <f>ALL!C97</f>
        <v>Bahrul Ulum, S.Kom</v>
      </c>
      <c r="C95" s="103">
        <v>2015190259</v>
      </c>
      <c r="D95" s="103">
        <f>ALL!AU97</f>
        <v>0</v>
      </c>
      <c r="E95" s="105">
        <f>ALL!AV97</f>
        <v>0</v>
      </c>
      <c r="F95" s="103">
        <f>ALL!AW97</f>
        <v>15000</v>
      </c>
      <c r="G95" s="105">
        <f>ALL!AX97</f>
        <v>0</v>
      </c>
      <c r="H95" s="103">
        <f>ALL!AY97</f>
        <v>0</v>
      </c>
      <c r="I95" s="105">
        <f>ALL!AZ97</f>
        <v>0</v>
      </c>
      <c r="J95" s="105">
        <f>ALL!BA97</f>
        <v>2039600</v>
      </c>
    </row>
    <row r="96" spans="1:10" x14ac:dyDescent="0.25">
      <c r="A96" s="147">
        <f>ALL!B98</f>
        <v>95</v>
      </c>
      <c r="B96" s="103" t="str">
        <f>ALL!C98</f>
        <v>Muhammad Khotim</v>
      </c>
      <c r="C96" s="103">
        <v>2119067149</v>
      </c>
      <c r="D96" s="103">
        <f>ALL!AU98</f>
        <v>0</v>
      </c>
      <c r="E96" s="105">
        <f>ALL!AV98</f>
        <v>0</v>
      </c>
      <c r="F96" s="103">
        <f>ALL!AW98</f>
        <v>0</v>
      </c>
      <c r="G96" s="105">
        <f>ALL!AX98</f>
        <v>0</v>
      </c>
      <c r="H96" s="103">
        <f>ALL!AY98</f>
        <v>0</v>
      </c>
      <c r="I96" s="105">
        <f>ALL!AZ98</f>
        <v>0</v>
      </c>
      <c r="J96" s="105">
        <f>ALL!BA98</f>
        <v>1640600</v>
      </c>
    </row>
    <row r="97" spans="1:10" x14ac:dyDescent="0.25">
      <c r="A97" s="147">
        <f>ALL!B101</f>
        <v>98</v>
      </c>
      <c r="B97" s="103" t="str">
        <f>ALL!C101</f>
        <v>Ust. Muh. Sabiq Baqiyyatullah Al Hafidl</v>
      </c>
      <c r="C97" s="144">
        <f>[2]BPD!$C$78</f>
        <v>2015144320</v>
      </c>
      <c r="D97" s="103">
        <f>ALL!AU101</f>
        <v>0</v>
      </c>
      <c r="E97" s="105">
        <f>ALL!AV101</f>
        <v>0</v>
      </c>
      <c r="F97" s="103">
        <f>ALL!AW101</f>
        <v>15000</v>
      </c>
      <c r="G97" s="105">
        <f>ALL!AX101</f>
        <v>22726</v>
      </c>
      <c r="H97" s="103">
        <f>ALL!AY101</f>
        <v>0</v>
      </c>
      <c r="I97" s="105">
        <f>ALL!AZ101</f>
        <v>0</v>
      </c>
      <c r="J97" s="105">
        <f>ALL!BA101</f>
        <v>2430474</v>
      </c>
    </row>
    <row r="98" spans="1:10" x14ac:dyDescent="0.25">
      <c r="A98" s="147">
        <f>ALL!B102</f>
        <v>99</v>
      </c>
      <c r="B98" s="103" t="str">
        <f>ALL!C102</f>
        <v>Ust. Ulil Absor, S.Pd.I</v>
      </c>
      <c r="C98" s="103">
        <v>2015168865</v>
      </c>
      <c r="D98" s="103">
        <f>ALL!AU102</f>
        <v>0</v>
      </c>
      <c r="E98" s="105">
        <f>ALL!AV102</f>
        <v>0</v>
      </c>
      <c r="F98" s="103">
        <f>ALL!AW102</f>
        <v>15000</v>
      </c>
      <c r="G98" s="105">
        <f>ALL!AX102</f>
        <v>0</v>
      </c>
      <c r="H98" s="103">
        <f>ALL!AY102</f>
        <v>300000</v>
      </c>
      <c r="I98" s="105">
        <f>ALL!AZ102</f>
        <v>220000</v>
      </c>
      <c r="J98" s="105">
        <f>ALL!BA102</f>
        <v>1826400</v>
      </c>
    </row>
    <row r="99" spans="1:10" x14ac:dyDescent="0.25">
      <c r="A99" s="147">
        <f>ALL!B103</f>
        <v>100</v>
      </c>
      <c r="B99" s="103" t="str">
        <f>ALL!C103</f>
        <v>Ust. Syukron Ali, S.Hum</v>
      </c>
      <c r="C99" s="103">
        <v>2015178658</v>
      </c>
      <c r="D99" s="103">
        <f>ALL!AU103</f>
        <v>0</v>
      </c>
      <c r="E99" s="105">
        <f>ALL!AV103</f>
        <v>805000</v>
      </c>
      <c r="F99" s="103">
        <f>ALL!AW103</f>
        <v>15000</v>
      </c>
      <c r="G99" s="105">
        <f>ALL!AX103</f>
        <v>0</v>
      </c>
      <c r="H99" s="103">
        <f>ALL!AY103</f>
        <v>600000</v>
      </c>
      <c r="I99" s="105">
        <f>ALL!AZ103</f>
        <v>0</v>
      </c>
      <c r="J99" s="105">
        <f>ALL!BA103</f>
        <v>1243200</v>
      </c>
    </row>
    <row r="100" spans="1:10" x14ac:dyDescent="0.25">
      <c r="A100" s="147">
        <f>ALL!B104</f>
        <v>101</v>
      </c>
      <c r="B100" s="103" t="str">
        <f>ALL!C104</f>
        <v>Ustdz. Siti Ruqoyah, S.Pd</v>
      </c>
      <c r="C100" s="103">
        <v>3015209568</v>
      </c>
      <c r="D100" s="103">
        <f>ALL!AU104</f>
        <v>0</v>
      </c>
      <c r="E100" s="105">
        <f>ALL!AV104</f>
        <v>0</v>
      </c>
      <c r="F100" s="103">
        <f>ALL!AW104</f>
        <v>15000</v>
      </c>
      <c r="G100" s="105">
        <f>ALL!AX104</f>
        <v>0</v>
      </c>
      <c r="H100" s="103">
        <f>ALL!AY104</f>
        <v>0</v>
      </c>
      <c r="I100" s="105">
        <f>ALL!AZ104</f>
        <v>0</v>
      </c>
      <c r="J100" s="105">
        <f>ALL!BA104</f>
        <v>2078900</v>
      </c>
    </row>
    <row r="101" spans="1:10" x14ac:dyDescent="0.25">
      <c r="A101" s="147">
        <f>ALL!B105</f>
        <v>102</v>
      </c>
      <c r="B101" s="103" t="str">
        <f>ALL!C105</f>
        <v>Ust. Muhammad Syafi'ul Anam Al Hafidh</v>
      </c>
      <c r="C101" s="142">
        <v>2015210241</v>
      </c>
      <c r="D101" s="103">
        <f>ALL!AU105</f>
        <v>0</v>
      </c>
      <c r="E101" s="105">
        <f>ALL!AV105</f>
        <v>0</v>
      </c>
      <c r="F101" s="103">
        <f>ALL!AW105</f>
        <v>15000</v>
      </c>
      <c r="G101" s="105">
        <f>ALL!AX105</f>
        <v>0</v>
      </c>
      <c r="H101" s="103">
        <f>ALL!AY105</f>
        <v>0</v>
      </c>
      <c r="I101" s="105">
        <f>ALL!AZ105</f>
        <v>0</v>
      </c>
      <c r="J101" s="105">
        <f>ALL!BA105</f>
        <v>2101000</v>
      </c>
    </row>
    <row r="102" spans="1:10" x14ac:dyDescent="0.25">
      <c r="A102" s="147">
        <f>ALL!B106</f>
        <v>103</v>
      </c>
      <c r="B102" s="103" t="str">
        <f>ALL!C106</f>
        <v>Ust. Firmansyah Maulana, SE</v>
      </c>
      <c r="C102" s="103">
        <v>2093091828</v>
      </c>
      <c r="D102" s="103">
        <f>ALL!AU106</f>
        <v>0</v>
      </c>
      <c r="E102" s="105">
        <f>ALL!AV106</f>
        <v>0</v>
      </c>
      <c r="F102" s="103">
        <f>ALL!AW106</f>
        <v>15000</v>
      </c>
      <c r="G102" s="105">
        <f>ALL!AX106</f>
        <v>0</v>
      </c>
      <c r="H102" s="103">
        <f>ALL!AY106</f>
        <v>0</v>
      </c>
      <c r="I102" s="105">
        <f>ALL!AZ106</f>
        <v>0</v>
      </c>
      <c r="J102" s="105">
        <f>ALL!BA106</f>
        <v>2339200</v>
      </c>
    </row>
    <row r="103" spans="1:10" x14ac:dyDescent="0.25">
      <c r="A103" s="147">
        <f>ALL!B107</f>
        <v>104</v>
      </c>
      <c r="B103" s="103" t="str">
        <f>ALL!C107</f>
        <v>Ustdz. Hilyatus Syarif Al Hafidloh</v>
      </c>
      <c r="C103" s="103">
        <v>2068066819</v>
      </c>
      <c r="D103" s="103">
        <f>ALL!AU107</f>
        <v>0</v>
      </c>
      <c r="E103" s="105">
        <f>ALL!AV107</f>
        <v>0</v>
      </c>
      <c r="F103" s="103">
        <f>ALL!AW107</f>
        <v>15000</v>
      </c>
      <c r="G103" s="105">
        <f>ALL!AX107</f>
        <v>0</v>
      </c>
      <c r="H103" s="103">
        <f>ALL!AY107</f>
        <v>0</v>
      </c>
      <c r="I103" s="105">
        <f>ALL!AZ107</f>
        <v>0</v>
      </c>
      <c r="J103" s="105">
        <f>ALL!BA107</f>
        <v>2139500</v>
      </c>
    </row>
    <row r="104" spans="1:10" x14ac:dyDescent="0.25">
      <c r="A104" s="147" t="e">
        <f>ALL!#REF!</f>
        <v>#REF!</v>
      </c>
      <c r="B104" s="103" t="e">
        <f>ALL!#REF!</f>
        <v>#REF!</v>
      </c>
      <c r="C104" s="142">
        <v>2139066238</v>
      </c>
      <c r="D104" s="103" t="e">
        <f>ALL!#REF!</f>
        <v>#REF!</v>
      </c>
      <c r="E104" s="105" t="e">
        <f>ALL!#REF!</f>
        <v>#REF!</v>
      </c>
      <c r="F104" s="103" t="e">
        <f>ALL!#REF!</f>
        <v>#REF!</v>
      </c>
      <c r="G104" s="105" t="e">
        <f>ALL!#REF!</f>
        <v>#REF!</v>
      </c>
      <c r="H104" s="103" t="e">
        <f>ALL!#REF!</f>
        <v>#REF!</v>
      </c>
      <c r="I104" s="105" t="e">
        <f>ALL!#REF!</f>
        <v>#REF!</v>
      </c>
      <c r="J104" s="105" t="e">
        <f>ALL!#REF!</f>
        <v>#REF!</v>
      </c>
    </row>
    <row r="105" spans="1:10" x14ac:dyDescent="0.25">
      <c r="A105" s="147">
        <f>ALL!B108</f>
        <v>105</v>
      </c>
      <c r="B105" s="103" t="str">
        <f>ALL!C108</f>
        <v>Ustdz. Nailul Muna</v>
      </c>
      <c r="C105" s="142">
        <v>3119078589</v>
      </c>
      <c r="D105" s="103">
        <f>ALL!AU108</f>
        <v>0</v>
      </c>
      <c r="E105" s="105">
        <f>ALL!AV108</f>
        <v>0</v>
      </c>
      <c r="F105" s="103">
        <f>ALL!AW108</f>
        <v>15000</v>
      </c>
      <c r="G105" s="105">
        <f>ALL!AX108</f>
        <v>0</v>
      </c>
      <c r="H105" s="103">
        <f>ALL!AY108</f>
        <v>0</v>
      </c>
      <c r="I105" s="105">
        <f>ALL!AZ108</f>
        <v>0</v>
      </c>
      <c r="J105" s="105">
        <f>ALL!BA108</f>
        <v>2015200</v>
      </c>
    </row>
    <row r="106" spans="1:10" x14ac:dyDescent="0.25">
      <c r="A106" s="147" t="e">
        <f>ALL!#REF!</f>
        <v>#REF!</v>
      </c>
      <c r="B106" s="103" t="e">
        <f>ALL!#REF!</f>
        <v>#REF!</v>
      </c>
      <c r="C106" s="146" t="s">
        <v>316</v>
      </c>
      <c r="D106" s="103" t="e">
        <f>ALL!#REF!</f>
        <v>#REF!</v>
      </c>
      <c r="E106" s="105" t="e">
        <f>ALL!#REF!</f>
        <v>#REF!</v>
      </c>
      <c r="F106" s="103" t="e">
        <f>ALL!#REF!</f>
        <v>#REF!</v>
      </c>
      <c r="G106" s="105" t="e">
        <f>ALL!#REF!</f>
        <v>#REF!</v>
      </c>
      <c r="H106" s="103" t="e">
        <f>ALL!#REF!</f>
        <v>#REF!</v>
      </c>
      <c r="I106" s="105" t="e">
        <f>ALL!#REF!</f>
        <v>#REF!</v>
      </c>
      <c r="J106" s="105" t="e">
        <f>ALL!#REF!</f>
        <v>#REF!</v>
      </c>
    </row>
    <row r="107" spans="1:10" x14ac:dyDescent="0.25">
      <c r="A107" s="147">
        <f>ALL!B109</f>
        <v>106</v>
      </c>
      <c r="B107" s="103" t="str">
        <f>ALL!C109</f>
        <v>Ust. M.Tijani Robert Kalthoum</v>
      </c>
      <c r="C107" s="145">
        <v>2015227713</v>
      </c>
      <c r="D107" s="103">
        <f>ALL!AU109</f>
        <v>0</v>
      </c>
      <c r="E107" s="105">
        <f>ALL!AV109</f>
        <v>0</v>
      </c>
      <c r="F107" s="103">
        <f>ALL!AW109</f>
        <v>15000</v>
      </c>
      <c r="G107" s="105">
        <f>ALL!AX109</f>
        <v>0</v>
      </c>
      <c r="H107" s="103">
        <f>ALL!AY109</f>
        <v>0</v>
      </c>
      <c r="I107" s="105">
        <f>ALL!AZ109</f>
        <v>0</v>
      </c>
      <c r="J107" s="105">
        <f>ALL!BA109</f>
        <v>2057000</v>
      </c>
    </row>
    <row r="108" spans="1:10" x14ac:dyDescent="0.25">
      <c r="A108" s="147">
        <f>ALL!B110</f>
        <v>107</v>
      </c>
      <c r="B108" s="103" t="str">
        <f>ALL!C110</f>
        <v>Ustdz. Wardah Alfin Noer</v>
      </c>
      <c r="C108" s="145">
        <v>2015227721</v>
      </c>
      <c r="D108" s="103">
        <f>ALL!AU110</f>
        <v>0</v>
      </c>
      <c r="E108" s="105">
        <f>ALL!AV110</f>
        <v>0</v>
      </c>
      <c r="F108" s="103">
        <f>ALL!AW110</f>
        <v>15000</v>
      </c>
      <c r="G108" s="105">
        <f>ALL!AX110</f>
        <v>0</v>
      </c>
      <c r="H108" s="103">
        <f>ALL!AY110</f>
        <v>0</v>
      </c>
      <c r="I108" s="105">
        <f>ALL!AZ110</f>
        <v>0</v>
      </c>
      <c r="J108" s="105">
        <f>ALL!BA110</f>
        <v>1896400</v>
      </c>
    </row>
    <row r="109" spans="1:10" x14ac:dyDescent="0.25">
      <c r="A109" s="147">
        <f>ALL!B113</f>
        <v>110</v>
      </c>
      <c r="B109" s="103" t="str">
        <f>ALL!C113</f>
        <v>Ust. Hasan Bahauddin</v>
      </c>
      <c r="C109" s="103">
        <v>2015193673</v>
      </c>
      <c r="D109" s="103">
        <f>ALL!AU113</f>
        <v>0</v>
      </c>
      <c r="E109" s="105">
        <f>ALL!AV113</f>
        <v>0</v>
      </c>
      <c r="F109" s="103">
        <f>ALL!AW113</f>
        <v>15000</v>
      </c>
      <c r="G109" s="105">
        <f>ALL!AX113</f>
        <v>0</v>
      </c>
      <c r="H109" s="103">
        <f>ALL!AY113</f>
        <v>0</v>
      </c>
      <c r="I109" s="105">
        <f>ALL!AZ113</f>
        <v>0</v>
      </c>
      <c r="J109" s="105">
        <f>ALL!BA113</f>
        <v>-15000</v>
      </c>
    </row>
    <row r="110" spans="1:10" x14ac:dyDescent="0.25">
      <c r="A110" s="147">
        <f>ALL!B114</f>
        <v>111</v>
      </c>
      <c r="B110" s="103" t="str">
        <f>ALL!C114</f>
        <v>Ust. Muh. Rojih Sibghotallah Al Hafidl</v>
      </c>
      <c r="C110" s="103">
        <v>2015170762</v>
      </c>
      <c r="D110" s="103">
        <f>ALL!AU114</f>
        <v>0</v>
      </c>
      <c r="E110" s="105">
        <f>ALL!AV114</f>
        <v>0</v>
      </c>
      <c r="F110" s="103">
        <f>ALL!AW114</f>
        <v>15000</v>
      </c>
      <c r="G110" s="105">
        <f>ALL!AX114</f>
        <v>22726</v>
      </c>
      <c r="H110" s="103">
        <f>ALL!AY114</f>
        <v>0</v>
      </c>
      <c r="I110" s="105">
        <f>ALL!AZ114</f>
        <v>0</v>
      </c>
      <c r="J110" s="105">
        <f>ALL!BA114</f>
        <v>-13217</v>
      </c>
    </row>
    <row r="111" spans="1:10" x14ac:dyDescent="0.25">
      <c r="A111" s="147">
        <f>ALL!B115</f>
        <v>112</v>
      </c>
      <c r="B111" s="103" t="str">
        <f>ALL!C115</f>
        <v>Ust. Kholilur Rohman Al Hafidl</v>
      </c>
      <c r="C111" s="103">
        <v>2015000358</v>
      </c>
      <c r="D111" s="103">
        <f>ALL!AU115</f>
        <v>0</v>
      </c>
      <c r="E111" s="105">
        <f>ALL!AV115</f>
        <v>0</v>
      </c>
      <c r="F111" s="103">
        <f>ALL!AW115</f>
        <v>15000</v>
      </c>
      <c r="G111" s="105">
        <f>ALL!AX115</f>
        <v>0</v>
      </c>
      <c r="H111" s="103">
        <f>ALL!AY115</f>
        <v>0</v>
      </c>
      <c r="I111" s="105">
        <f>ALL!AZ115</f>
        <v>0</v>
      </c>
      <c r="J111" s="105">
        <f>ALL!BA115</f>
        <v>-15000</v>
      </c>
    </row>
    <row r="112" spans="1:10" x14ac:dyDescent="0.25">
      <c r="A112" s="147">
        <f>ALL!B116</f>
        <v>113</v>
      </c>
      <c r="B112" s="103" t="str">
        <f>ALL!C116</f>
        <v>Ust. Fatchurrohman</v>
      </c>
      <c r="C112" s="145">
        <v>3015260679</v>
      </c>
      <c r="D112" s="103">
        <f>ALL!AU116</f>
        <v>0</v>
      </c>
      <c r="E112" s="105">
        <f>ALL!AV116</f>
        <v>0</v>
      </c>
      <c r="F112" s="103">
        <f>ALL!AW116</f>
        <v>15000</v>
      </c>
      <c r="G112" s="105">
        <f>ALL!AX116</f>
        <v>0</v>
      </c>
      <c r="H112" s="103">
        <f>ALL!AY116</f>
        <v>0</v>
      </c>
      <c r="I112" s="105">
        <f>ALL!AZ116</f>
        <v>0</v>
      </c>
      <c r="J112" s="105">
        <f>ALL!BA116</f>
        <v>-15000</v>
      </c>
    </row>
    <row r="113" spans="1:10" x14ac:dyDescent="0.25">
      <c r="A113" s="147">
        <f>ALL!B117</f>
        <v>114</v>
      </c>
      <c r="B113" s="103" t="str">
        <f>ALL!C117</f>
        <v>Hendry Setya Laksono, S.Pd.</v>
      </c>
      <c r="C113" s="141">
        <v>3015128193</v>
      </c>
      <c r="D113" s="103">
        <f>ALL!AU117</f>
        <v>0</v>
      </c>
      <c r="E113" s="105">
        <f>ALL!AV117</f>
        <v>0</v>
      </c>
      <c r="F113" s="103">
        <f>ALL!AW117</f>
        <v>15000</v>
      </c>
      <c r="G113" s="105">
        <f>ALL!AX117</f>
        <v>0</v>
      </c>
      <c r="H113" s="103">
        <f>ALL!AY117</f>
        <v>0</v>
      </c>
      <c r="I113" s="105">
        <f>ALL!AZ117</f>
        <v>0</v>
      </c>
      <c r="J113" s="105">
        <f>ALL!BA117</f>
        <v>-15000</v>
      </c>
    </row>
    <row r="114" spans="1:10" x14ac:dyDescent="0.25">
      <c r="A114" s="147">
        <f>ALL!B118</f>
        <v>115</v>
      </c>
      <c r="B114" s="103" t="str">
        <f>ALL!C118</f>
        <v>Supardi</v>
      </c>
      <c r="C114" s="103">
        <v>3119065428</v>
      </c>
      <c r="D114" s="103">
        <f>ALL!AU118</f>
        <v>0</v>
      </c>
      <c r="E114" s="105">
        <f>ALL!AV118</f>
        <v>0</v>
      </c>
      <c r="F114" s="103">
        <f>ALL!AW118</f>
        <v>15000</v>
      </c>
      <c r="G114" s="105">
        <f>ALL!AX118</f>
        <v>0</v>
      </c>
      <c r="H114" s="103">
        <f>ALL!AY118</f>
        <v>0</v>
      </c>
      <c r="I114" s="105">
        <f>ALL!AZ118</f>
        <v>0</v>
      </c>
      <c r="J114" s="105">
        <f>ALL!BA118</f>
        <v>1020900</v>
      </c>
    </row>
    <row r="115" spans="1:10" x14ac:dyDescent="0.25">
      <c r="A115" s="147">
        <f>ALL!B119</f>
        <v>116</v>
      </c>
      <c r="B115" s="103" t="str">
        <f>ALL!C119</f>
        <v>Eri Erviana S.Pd.</v>
      </c>
      <c r="C115" s="141">
        <v>3093147218</v>
      </c>
      <c r="D115" s="103">
        <f>ALL!AU119</f>
        <v>0</v>
      </c>
      <c r="E115" s="105">
        <f>ALL!AV119</f>
        <v>0</v>
      </c>
      <c r="F115" s="103">
        <f>ALL!AW119</f>
        <v>15000</v>
      </c>
      <c r="G115" s="105">
        <f>ALL!AX119</f>
        <v>0</v>
      </c>
      <c r="H115" s="103">
        <f>ALL!AY119</f>
        <v>0</v>
      </c>
      <c r="I115" s="105">
        <f>ALL!AZ119</f>
        <v>0</v>
      </c>
      <c r="J115" s="105">
        <f>ALL!BA119</f>
        <v>1797500</v>
      </c>
    </row>
    <row r="116" spans="1:10" x14ac:dyDescent="0.25">
      <c r="A116" s="147">
        <f>ALL!B120</f>
        <v>117</v>
      </c>
      <c r="B116" s="103" t="str">
        <f>ALL!C120</f>
        <v>Sri Rohmatun S.Pd.</v>
      </c>
      <c r="C116" s="103">
        <v>3119059509</v>
      </c>
      <c r="D116" s="103">
        <f>ALL!AU120</f>
        <v>0</v>
      </c>
      <c r="E116" s="105">
        <f>ALL!AV120</f>
        <v>0</v>
      </c>
      <c r="F116" s="103">
        <f>ALL!AW120</f>
        <v>15000</v>
      </c>
      <c r="G116" s="105">
        <f>ALL!AX120</f>
        <v>0</v>
      </c>
      <c r="H116" s="103">
        <f>ALL!AY120</f>
        <v>0</v>
      </c>
      <c r="I116" s="105">
        <f>ALL!AZ120</f>
        <v>220000</v>
      </c>
      <c r="J116" s="105">
        <f>ALL!BA120</f>
        <v>1893800</v>
      </c>
    </row>
    <row r="117" spans="1:10" x14ac:dyDescent="0.25">
      <c r="A117" s="103"/>
      <c r="B117" s="103"/>
      <c r="C117" s="103"/>
      <c r="D117" s="104" t="e">
        <f t="shared" ref="D117:J117" si="0">SUM(D2:D116)</f>
        <v>#REF!</v>
      </c>
      <c r="E117" s="104" t="e">
        <f t="shared" si="0"/>
        <v>#REF!</v>
      </c>
      <c r="F117" s="104" t="e">
        <f t="shared" si="0"/>
        <v>#REF!</v>
      </c>
      <c r="G117" s="104" t="e">
        <f t="shared" si="0"/>
        <v>#REF!</v>
      </c>
      <c r="H117" s="104" t="e">
        <f t="shared" si="0"/>
        <v>#REF!</v>
      </c>
      <c r="I117" s="104" t="e">
        <f t="shared" si="0"/>
        <v>#REF!</v>
      </c>
      <c r="J117" s="104" t="e">
        <f t="shared" si="0"/>
        <v>#REF!</v>
      </c>
    </row>
    <row r="118" spans="1:10" x14ac:dyDescent="0.25">
      <c r="J118" s="2" t="e">
        <f>D117+E117+J117</f>
        <v>#REF!</v>
      </c>
    </row>
    <row r="121" spans="1:10" x14ac:dyDescent="0.25">
      <c r="H121" t="s">
        <v>319</v>
      </c>
      <c r="I121" s="2" t="e">
        <f>F117+G117+H117+I117</f>
        <v>#REF!</v>
      </c>
    </row>
    <row r="122" spans="1:10" ht="15.75" x14ac:dyDescent="0.25">
      <c r="A122" s="546" t="s">
        <v>332</v>
      </c>
      <c r="B122" s="546"/>
      <c r="C122" s="546"/>
      <c r="D122" s="546"/>
      <c r="E122" s="546"/>
      <c r="F122" s="546"/>
      <c r="G122" s="546"/>
      <c r="H122" t="s">
        <v>204</v>
      </c>
      <c r="I122" s="2" t="e">
        <f>J118+I121</f>
        <v>#REF!</v>
      </c>
    </row>
    <row r="123" spans="1:10" ht="15.75" x14ac:dyDescent="0.25">
      <c r="A123" s="546" t="s">
        <v>363</v>
      </c>
      <c r="B123" s="546"/>
      <c r="C123" s="546"/>
      <c r="D123" s="546"/>
      <c r="E123" s="546"/>
      <c r="F123" s="546"/>
      <c r="G123" s="546"/>
    </row>
    <row r="125" spans="1:10" x14ac:dyDescent="0.25">
      <c r="A125" s="139" t="s">
        <v>0</v>
      </c>
      <c r="B125" s="148" t="s">
        <v>310</v>
      </c>
      <c r="C125" s="148" t="s">
        <v>311</v>
      </c>
      <c r="D125" s="148" t="s">
        <v>312</v>
      </c>
      <c r="E125" s="148" t="s">
        <v>302</v>
      </c>
      <c r="F125" s="148" t="s">
        <v>317</v>
      </c>
      <c r="G125" s="148" t="s">
        <v>318</v>
      </c>
    </row>
    <row r="126" spans="1:10" x14ac:dyDescent="0.25">
      <c r="A126" s="105">
        <f t="shared" ref="A126:E135" si="1">A2</f>
        <v>1</v>
      </c>
      <c r="B126" s="103" t="str">
        <f t="shared" si="1"/>
        <v>Siti Latifah</v>
      </c>
      <c r="C126" s="103">
        <f t="shared" si="1"/>
        <v>2015077142</v>
      </c>
      <c r="D126" s="104">
        <f t="shared" si="1"/>
        <v>200000</v>
      </c>
      <c r="E126" s="104">
        <f t="shared" si="1"/>
        <v>1335000</v>
      </c>
      <c r="F126" s="104">
        <f>D126+E126+G126</f>
        <v>2050322</v>
      </c>
      <c r="G126" s="104">
        <f t="shared" ref="G126:G151" si="2">J2</f>
        <v>515322</v>
      </c>
    </row>
    <row r="127" spans="1:10" x14ac:dyDescent="0.25">
      <c r="A127" s="105">
        <f t="shared" si="1"/>
        <v>2</v>
      </c>
      <c r="B127" s="103" t="str">
        <f t="shared" si="1"/>
        <v>Ulwiyatur Rif'ah, S.E</v>
      </c>
      <c r="C127" s="103">
        <f t="shared" si="1"/>
        <v>3015128177</v>
      </c>
      <c r="D127" s="104">
        <f t="shared" si="1"/>
        <v>100000</v>
      </c>
      <c r="E127" s="104">
        <f t="shared" si="1"/>
        <v>0</v>
      </c>
      <c r="F127" s="104">
        <f t="shared" ref="F127:F192" si="3">D127+E127+G127</f>
        <v>2194470</v>
      </c>
      <c r="G127" s="104">
        <f t="shared" si="2"/>
        <v>2094470</v>
      </c>
    </row>
    <row r="128" spans="1:10" x14ac:dyDescent="0.25">
      <c r="A128" s="105">
        <f t="shared" si="1"/>
        <v>3</v>
      </c>
      <c r="B128" s="103" t="str">
        <f t="shared" si="1"/>
        <v>Rini Shohihah, S.E</v>
      </c>
      <c r="C128" s="103">
        <f t="shared" si="1"/>
        <v>2015077061</v>
      </c>
      <c r="D128" s="104">
        <f t="shared" si="1"/>
        <v>200000</v>
      </c>
      <c r="E128" s="104">
        <f t="shared" si="1"/>
        <v>996500</v>
      </c>
      <c r="F128" s="104">
        <f t="shared" si="3"/>
        <v>2059096</v>
      </c>
      <c r="G128" s="104">
        <f t="shared" si="2"/>
        <v>862596</v>
      </c>
    </row>
    <row r="129" spans="1:9" x14ac:dyDescent="0.25">
      <c r="A129" s="105">
        <f t="shared" si="1"/>
        <v>4</v>
      </c>
      <c r="B129" s="103" t="str">
        <f t="shared" si="1"/>
        <v>Winda Zuliyaningsih</v>
      </c>
      <c r="C129" s="103">
        <f t="shared" si="1"/>
        <v>3015169876</v>
      </c>
      <c r="D129" s="104">
        <f t="shared" si="1"/>
        <v>0</v>
      </c>
      <c r="E129" s="104">
        <f t="shared" si="1"/>
        <v>0</v>
      </c>
      <c r="F129" s="104">
        <f t="shared" si="3"/>
        <v>1497700</v>
      </c>
      <c r="G129" s="104">
        <f t="shared" si="2"/>
        <v>1497700</v>
      </c>
      <c r="I129">
        <v>5000</v>
      </c>
    </row>
    <row r="130" spans="1:9" x14ac:dyDescent="0.25">
      <c r="A130" s="105">
        <f t="shared" si="1"/>
        <v>5</v>
      </c>
      <c r="B130" s="103" t="str">
        <f t="shared" si="1"/>
        <v>Nawan Riyan Zufar, S.Pd.</v>
      </c>
      <c r="C130" s="103">
        <f t="shared" si="1"/>
        <v>2093070553</v>
      </c>
      <c r="D130" s="136">
        <f t="shared" si="1"/>
        <v>0</v>
      </c>
      <c r="E130" s="136">
        <f t="shared" si="1"/>
        <v>0</v>
      </c>
      <c r="F130" s="136">
        <f t="shared" si="3"/>
        <v>3304600</v>
      </c>
      <c r="G130" s="136">
        <f t="shared" si="2"/>
        <v>3304600</v>
      </c>
      <c r="I130">
        <v>234</v>
      </c>
    </row>
    <row r="131" spans="1:9" x14ac:dyDescent="0.25">
      <c r="A131" s="105">
        <f t="shared" si="1"/>
        <v>6</v>
      </c>
      <c r="B131" s="103" t="str">
        <f t="shared" si="1"/>
        <v>Rona Faroni, S.Kom</v>
      </c>
      <c r="C131" s="103">
        <f t="shared" si="1"/>
        <v>2015168857</v>
      </c>
      <c r="D131" s="104">
        <f t="shared" si="1"/>
        <v>0</v>
      </c>
      <c r="E131" s="104">
        <f t="shared" si="1"/>
        <v>0</v>
      </c>
      <c r="F131" s="104">
        <f t="shared" si="3"/>
        <v>2283500</v>
      </c>
      <c r="G131" s="104">
        <f t="shared" si="2"/>
        <v>2283500</v>
      </c>
      <c r="I131">
        <f>I129*I130</f>
        <v>1170000</v>
      </c>
    </row>
    <row r="132" spans="1:9" x14ac:dyDescent="0.25">
      <c r="A132" s="105">
        <f t="shared" si="1"/>
        <v>7</v>
      </c>
      <c r="B132" s="103" t="str">
        <f t="shared" si="1"/>
        <v>Aufal Hadaya, M.Pd</v>
      </c>
      <c r="C132" s="103">
        <f t="shared" si="1"/>
        <v>3015210558</v>
      </c>
      <c r="D132" s="104">
        <f t="shared" si="1"/>
        <v>100000</v>
      </c>
      <c r="E132" s="104">
        <f t="shared" si="1"/>
        <v>0</v>
      </c>
      <c r="F132" s="104">
        <f t="shared" si="3"/>
        <v>2625800</v>
      </c>
      <c r="G132" s="104">
        <f t="shared" si="2"/>
        <v>2525800</v>
      </c>
    </row>
    <row r="133" spans="1:9" x14ac:dyDescent="0.25">
      <c r="A133" s="105">
        <f t="shared" si="1"/>
        <v>8</v>
      </c>
      <c r="B133" s="103" t="str">
        <f t="shared" si="1"/>
        <v>Edi Susilo, S. Pd. I</v>
      </c>
      <c r="C133" s="103">
        <f t="shared" si="1"/>
        <v>3015118139</v>
      </c>
      <c r="D133" s="104">
        <f t="shared" si="1"/>
        <v>100000</v>
      </c>
      <c r="E133" s="104">
        <f t="shared" si="1"/>
        <v>1365500</v>
      </c>
      <c r="F133" s="104">
        <f t="shared" si="3"/>
        <v>3398296</v>
      </c>
      <c r="G133" s="104">
        <f t="shared" si="2"/>
        <v>1932796</v>
      </c>
    </row>
    <row r="134" spans="1:9" x14ac:dyDescent="0.25">
      <c r="A134" s="105">
        <f t="shared" si="1"/>
        <v>9</v>
      </c>
      <c r="B134" s="103" t="str">
        <f t="shared" si="1"/>
        <v xml:space="preserve">Khoiril Anam, M.Pd. </v>
      </c>
      <c r="C134" s="103">
        <f t="shared" si="1"/>
        <v>3015118058</v>
      </c>
      <c r="D134" s="104">
        <f t="shared" si="1"/>
        <v>200000</v>
      </c>
      <c r="E134" s="104">
        <f t="shared" si="1"/>
        <v>1335000</v>
      </c>
      <c r="F134" s="104">
        <f t="shared" si="3"/>
        <v>2340096</v>
      </c>
      <c r="G134" s="104">
        <f t="shared" si="2"/>
        <v>805096</v>
      </c>
    </row>
    <row r="135" spans="1:9" x14ac:dyDescent="0.25">
      <c r="A135" s="105">
        <f t="shared" si="1"/>
        <v>10</v>
      </c>
      <c r="B135" s="103" t="str">
        <f t="shared" si="1"/>
        <v xml:space="preserve">Mariatul Qibityah, S.Pd. </v>
      </c>
      <c r="C135" s="103">
        <f t="shared" si="1"/>
        <v>3015117949</v>
      </c>
      <c r="D135" s="104">
        <f t="shared" si="1"/>
        <v>200000</v>
      </c>
      <c r="E135" s="104">
        <f t="shared" si="1"/>
        <v>0</v>
      </c>
      <c r="F135" s="104">
        <f t="shared" si="3"/>
        <v>3052844</v>
      </c>
      <c r="G135" s="104">
        <f t="shared" si="2"/>
        <v>2852844</v>
      </c>
    </row>
    <row r="136" spans="1:9" x14ac:dyDescent="0.25">
      <c r="A136" s="105">
        <f t="shared" ref="A136:E145" si="4">A12</f>
        <v>11</v>
      </c>
      <c r="B136" s="103" t="str">
        <f t="shared" si="4"/>
        <v xml:space="preserve">Rahmat Uki Bahtiar, S.Sy, S.Pd. </v>
      </c>
      <c r="C136" s="103">
        <f t="shared" si="4"/>
        <v>2015057354</v>
      </c>
      <c r="D136" s="104">
        <f t="shared" si="4"/>
        <v>0</v>
      </c>
      <c r="E136" s="104">
        <f t="shared" si="4"/>
        <v>1495000</v>
      </c>
      <c r="F136" s="104">
        <f t="shared" si="3"/>
        <v>1780622</v>
      </c>
      <c r="G136" s="104">
        <f t="shared" si="2"/>
        <v>285622</v>
      </c>
    </row>
    <row r="137" spans="1:9" x14ac:dyDescent="0.25">
      <c r="A137" s="105">
        <f t="shared" si="4"/>
        <v>12</v>
      </c>
      <c r="B137" s="103" t="str">
        <f t="shared" si="4"/>
        <v>Desitrillia Nurjannah, S.Pd.</v>
      </c>
      <c r="C137" s="103">
        <f t="shared" si="4"/>
        <v>3015128207</v>
      </c>
      <c r="D137" s="104">
        <f t="shared" si="4"/>
        <v>100000</v>
      </c>
      <c r="E137" s="104">
        <f t="shared" si="4"/>
        <v>1335000</v>
      </c>
      <c r="F137" s="104">
        <f t="shared" si="3"/>
        <v>2515896</v>
      </c>
      <c r="G137" s="104">
        <f t="shared" si="2"/>
        <v>1080896</v>
      </c>
    </row>
    <row r="138" spans="1:9" x14ac:dyDescent="0.25">
      <c r="A138" s="105" t="e">
        <f t="shared" si="4"/>
        <v>#REF!</v>
      </c>
      <c r="B138" s="103" t="e">
        <f t="shared" si="4"/>
        <v>#REF!</v>
      </c>
      <c r="C138" s="103">
        <f t="shared" si="4"/>
        <v>2068064310</v>
      </c>
      <c r="D138" s="104" t="e">
        <f t="shared" si="4"/>
        <v>#REF!</v>
      </c>
      <c r="E138" s="104" t="e">
        <f t="shared" si="4"/>
        <v>#REF!</v>
      </c>
      <c r="F138" s="104" t="e">
        <f t="shared" si="3"/>
        <v>#REF!</v>
      </c>
      <c r="G138" s="104" t="e">
        <f t="shared" si="2"/>
        <v>#REF!</v>
      </c>
    </row>
    <row r="139" spans="1:9" x14ac:dyDescent="0.25">
      <c r="A139" s="105">
        <f t="shared" si="4"/>
        <v>14</v>
      </c>
      <c r="B139" s="103" t="str">
        <f t="shared" si="4"/>
        <v>Nurun Nahari Syarifah, S.Psi.</v>
      </c>
      <c r="C139" s="103">
        <f t="shared" si="4"/>
        <v>2093089602</v>
      </c>
      <c r="D139" s="104">
        <f t="shared" si="4"/>
        <v>0</v>
      </c>
      <c r="E139" s="104">
        <f t="shared" si="4"/>
        <v>0</v>
      </c>
      <c r="F139" s="104">
        <f t="shared" si="3"/>
        <v>2534600</v>
      </c>
      <c r="G139" s="104">
        <f t="shared" si="2"/>
        <v>2534600</v>
      </c>
    </row>
    <row r="140" spans="1:9" x14ac:dyDescent="0.25">
      <c r="A140" s="105" t="e">
        <f t="shared" si="4"/>
        <v>#REF!</v>
      </c>
      <c r="B140" s="103" t="e">
        <f t="shared" si="4"/>
        <v>#REF!</v>
      </c>
      <c r="C140" s="103">
        <f t="shared" si="4"/>
        <v>2015080411</v>
      </c>
      <c r="D140" s="104" t="e">
        <f t="shared" si="4"/>
        <v>#REF!</v>
      </c>
      <c r="E140" s="104" t="e">
        <f t="shared" si="4"/>
        <v>#REF!</v>
      </c>
      <c r="F140" s="104" t="e">
        <f t="shared" si="3"/>
        <v>#REF!</v>
      </c>
      <c r="G140" s="104" t="e">
        <f t="shared" si="2"/>
        <v>#REF!</v>
      </c>
    </row>
    <row r="141" spans="1:9" x14ac:dyDescent="0.25">
      <c r="A141" s="105">
        <f t="shared" si="4"/>
        <v>16</v>
      </c>
      <c r="B141" s="103" t="str">
        <f t="shared" si="4"/>
        <v>Syaifiana Anjar Puspitasari,S.Pd.</v>
      </c>
      <c r="C141" s="103" t="str">
        <f t="shared" si="4"/>
        <v>2068053679</v>
      </c>
      <c r="D141" s="104">
        <f t="shared" si="4"/>
        <v>0</v>
      </c>
      <c r="E141" s="104">
        <f t="shared" si="4"/>
        <v>0</v>
      </c>
      <c r="F141" s="104">
        <f t="shared" si="3"/>
        <v>2560600</v>
      </c>
      <c r="G141" s="104">
        <f t="shared" si="2"/>
        <v>2560600</v>
      </c>
    </row>
    <row r="142" spans="1:9" x14ac:dyDescent="0.25">
      <c r="A142" s="105" t="e">
        <f t="shared" si="4"/>
        <v>#REF!</v>
      </c>
      <c r="B142" s="103" t="e">
        <f t="shared" si="4"/>
        <v>#REF!</v>
      </c>
      <c r="C142" s="103">
        <f t="shared" si="4"/>
        <v>2015182485</v>
      </c>
      <c r="D142" s="104" t="e">
        <f t="shared" si="4"/>
        <v>#REF!</v>
      </c>
      <c r="E142" s="104" t="e">
        <f t="shared" si="4"/>
        <v>#REF!</v>
      </c>
      <c r="F142" s="104" t="e">
        <f t="shared" si="3"/>
        <v>#REF!</v>
      </c>
      <c r="G142" s="104" t="e">
        <f t="shared" si="2"/>
        <v>#REF!</v>
      </c>
    </row>
    <row r="143" spans="1:9" x14ac:dyDescent="0.25">
      <c r="A143" s="105">
        <f t="shared" si="4"/>
        <v>18</v>
      </c>
      <c r="B143" s="103" t="str">
        <f t="shared" si="4"/>
        <v>Muhimmatun Nisa', S. Pd</v>
      </c>
      <c r="C143" s="103">
        <f t="shared" si="4"/>
        <v>3015118015</v>
      </c>
      <c r="D143" s="104">
        <f t="shared" si="4"/>
        <v>400000</v>
      </c>
      <c r="E143" s="104">
        <f t="shared" si="4"/>
        <v>0</v>
      </c>
      <c r="F143" s="104">
        <f t="shared" si="3"/>
        <v>2351918</v>
      </c>
      <c r="G143" s="104">
        <f t="shared" si="2"/>
        <v>1951918</v>
      </c>
    </row>
    <row r="144" spans="1:9" x14ac:dyDescent="0.25">
      <c r="A144" s="105">
        <f t="shared" si="4"/>
        <v>19</v>
      </c>
      <c r="B144" s="103" t="str">
        <f t="shared" si="4"/>
        <v xml:space="preserve">Rizki Hardyanti, S.Pd. </v>
      </c>
      <c r="C144" s="103">
        <f t="shared" si="4"/>
        <v>2093104091</v>
      </c>
      <c r="D144" s="104">
        <f t="shared" si="4"/>
        <v>0</v>
      </c>
      <c r="E144" s="104">
        <f t="shared" si="4"/>
        <v>0</v>
      </c>
      <c r="F144" s="104">
        <f t="shared" si="3"/>
        <v>2457000</v>
      </c>
      <c r="G144" s="104">
        <f t="shared" si="2"/>
        <v>2457000</v>
      </c>
    </row>
    <row r="145" spans="1:7" x14ac:dyDescent="0.25">
      <c r="A145" s="105" t="e">
        <f t="shared" si="4"/>
        <v>#REF!</v>
      </c>
      <c r="B145" s="103" t="e">
        <f t="shared" si="4"/>
        <v>#REF!</v>
      </c>
      <c r="C145" s="103">
        <f t="shared" si="4"/>
        <v>3015118040</v>
      </c>
      <c r="D145" s="104" t="e">
        <f t="shared" si="4"/>
        <v>#REF!</v>
      </c>
      <c r="E145" s="104" t="e">
        <f t="shared" si="4"/>
        <v>#REF!</v>
      </c>
      <c r="F145" s="104" t="e">
        <f t="shared" si="3"/>
        <v>#REF!</v>
      </c>
      <c r="G145" s="104" t="e">
        <f t="shared" si="2"/>
        <v>#REF!</v>
      </c>
    </row>
    <row r="146" spans="1:7" x14ac:dyDescent="0.25">
      <c r="A146" s="105" t="e">
        <f t="shared" ref="A146:E151" si="5">A22</f>
        <v>#REF!</v>
      </c>
      <c r="B146" s="103" t="e">
        <f t="shared" si="5"/>
        <v>#REF!</v>
      </c>
      <c r="C146" s="103">
        <f t="shared" si="5"/>
        <v>3015168764</v>
      </c>
      <c r="D146" s="104" t="e">
        <f t="shared" si="5"/>
        <v>#REF!</v>
      </c>
      <c r="E146" s="104" t="e">
        <f t="shared" si="5"/>
        <v>#REF!</v>
      </c>
      <c r="F146" s="104" t="e">
        <f t="shared" si="3"/>
        <v>#REF!</v>
      </c>
      <c r="G146" s="104" t="e">
        <f t="shared" si="2"/>
        <v>#REF!</v>
      </c>
    </row>
    <row r="147" spans="1:7" x14ac:dyDescent="0.25">
      <c r="A147" s="105">
        <f t="shared" si="5"/>
        <v>22</v>
      </c>
      <c r="B147" s="103" t="str">
        <f t="shared" si="5"/>
        <v xml:space="preserve">Firda Farihatul Ulya, S.Pd. </v>
      </c>
      <c r="C147" s="103">
        <f t="shared" si="5"/>
        <v>3015219989</v>
      </c>
      <c r="D147" s="104">
        <f t="shared" si="5"/>
        <v>0</v>
      </c>
      <c r="E147" s="104">
        <f t="shared" si="5"/>
        <v>0</v>
      </c>
      <c r="F147" s="104">
        <f t="shared" si="3"/>
        <v>2560600</v>
      </c>
      <c r="G147" s="104">
        <f t="shared" si="2"/>
        <v>2560600</v>
      </c>
    </row>
    <row r="148" spans="1:7" x14ac:dyDescent="0.25">
      <c r="A148" s="105">
        <f t="shared" si="5"/>
        <v>23</v>
      </c>
      <c r="B148" s="103" t="str">
        <f t="shared" si="5"/>
        <v xml:space="preserve">Luqman Khafid, M.Pd. </v>
      </c>
      <c r="C148" s="103">
        <f t="shared" si="5"/>
        <v>2093089556</v>
      </c>
      <c r="D148" s="104">
        <f t="shared" si="5"/>
        <v>0</v>
      </c>
      <c r="E148" s="104">
        <f t="shared" si="5"/>
        <v>0</v>
      </c>
      <c r="F148" s="104">
        <f t="shared" si="3"/>
        <v>2467600</v>
      </c>
      <c r="G148" s="104">
        <f t="shared" si="2"/>
        <v>2467600</v>
      </c>
    </row>
    <row r="149" spans="1:7" x14ac:dyDescent="0.25">
      <c r="A149" s="105">
        <f t="shared" si="5"/>
        <v>28</v>
      </c>
      <c r="B149" s="103" t="str">
        <f t="shared" si="5"/>
        <v xml:space="preserve">Ni'matul Afifah, S.Pd. </v>
      </c>
      <c r="C149" s="103">
        <f t="shared" si="5"/>
        <v>3015117990</v>
      </c>
      <c r="D149" s="104">
        <f t="shared" si="5"/>
        <v>600000</v>
      </c>
      <c r="E149" s="104">
        <f t="shared" si="5"/>
        <v>0</v>
      </c>
      <c r="F149" s="104">
        <f t="shared" si="3"/>
        <v>2265570</v>
      </c>
      <c r="G149" s="104">
        <f t="shared" si="2"/>
        <v>1665570</v>
      </c>
    </row>
    <row r="150" spans="1:7" x14ac:dyDescent="0.25">
      <c r="A150" s="105">
        <f t="shared" si="5"/>
        <v>27</v>
      </c>
      <c r="B150" s="103" t="str">
        <f t="shared" si="5"/>
        <v xml:space="preserve">Khoiril Anwar, S.Pd. </v>
      </c>
      <c r="C150" s="103">
        <f t="shared" si="5"/>
        <v>3015134509</v>
      </c>
      <c r="D150" s="104">
        <f t="shared" si="5"/>
        <v>0</v>
      </c>
      <c r="E150" s="104">
        <f t="shared" si="5"/>
        <v>0</v>
      </c>
      <c r="F150" s="104">
        <f t="shared" si="3"/>
        <v>1709548</v>
      </c>
      <c r="G150" s="104">
        <f t="shared" si="2"/>
        <v>1709548</v>
      </c>
    </row>
    <row r="151" spans="1:7" x14ac:dyDescent="0.25">
      <c r="A151" s="105" t="e">
        <f t="shared" si="5"/>
        <v>#REF!</v>
      </c>
      <c r="B151" s="103" t="e">
        <f t="shared" si="5"/>
        <v>#REF!</v>
      </c>
      <c r="C151" s="103">
        <f t="shared" si="5"/>
        <v>3015117973</v>
      </c>
      <c r="D151" s="104" t="e">
        <f t="shared" si="5"/>
        <v>#REF!</v>
      </c>
      <c r="E151" s="104" t="e">
        <f t="shared" si="5"/>
        <v>#REF!</v>
      </c>
      <c r="F151" s="104" t="e">
        <f t="shared" si="3"/>
        <v>#REF!</v>
      </c>
      <c r="G151" s="104" t="e">
        <f t="shared" si="2"/>
        <v>#REF!</v>
      </c>
    </row>
    <row r="152" spans="1:7" x14ac:dyDescent="0.25">
      <c r="A152" s="105">
        <f t="shared" ref="A152:E161" si="6">A29</f>
        <v>24</v>
      </c>
      <c r="B152" s="103" t="str">
        <f t="shared" si="6"/>
        <v xml:space="preserve">Sri Hartatik, S.Pd. </v>
      </c>
      <c r="C152" s="103">
        <f t="shared" si="6"/>
        <v>2068064280</v>
      </c>
      <c r="D152" s="104">
        <f t="shared" si="6"/>
        <v>0</v>
      </c>
      <c r="E152" s="104">
        <f t="shared" si="6"/>
        <v>0</v>
      </c>
      <c r="F152" s="104">
        <f t="shared" si="3"/>
        <v>2583500</v>
      </c>
      <c r="G152" s="104">
        <f t="shared" ref="G152:G183" si="7">J29</f>
        <v>2583500</v>
      </c>
    </row>
    <row r="153" spans="1:7" x14ac:dyDescent="0.25">
      <c r="A153" s="105">
        <f t="shared" si="6"/>
        <v>29</v>
      </c>
      <c r="B153" s="103" t="str">
        <f t="shared" si="6"/>
        <v>Risqa Nur Fadhilah, S.Pd.</v>
      </c>
      <c r="C153" s="103">
        <f t="shared" si="6"/>
        <v>2068053661</v>
      </c>
      <c r="D153" s="104">
        <f t="shared" si="6"/>
        <v>0</v>
      </c>
      <c r="E153" s="104">
        <f t="shared" si="6"/>
        <v>0</v>
      </c>
      <c r="F153" s="104">
        <f t="shared" si="3"/>
        <v>2400000</v>
      </c>
      <c r="G153" s="104">
        <f t="shared" si="7"/>
        <v>2400000</v>
      </c>
    </row>
    <row r="154" spans="1:7" x14ac:dyDescent="0.25">
      <c r="A154" s="105">
        <f t="shared" si="6"/>
        <v>30</v>
      </c>
      <c r="B154" s="103" t="str">
        <f t="shared" si="6"/>
        <v xml:space="preserve">Rika Setyaningsih, S.Pd. </v>
      </c>
      <c r="C154" s="103">
        <f t="shared" si="6"/>
        <v>3015135122</v>
      </c>
      <c r="D154" s="104">
        <f t="shared" si="6"/>
        <v>100000</v>
      </c>
      <c r="E154" s="104">
        <f t="shared" si="6"/>
        <v>1053500</v>
      </c>
      <c r="F154" s="104">
        <f t="shared" si="3"/>
        <v>2513644</v>
      </c>
      <c r="G154" s="104">
        <f t="shared" si="7"/>
        <v>1360144</v>
      </c>
    </row>
    <row r="155" spans="1:7" x14ac:dyDescent="0.25">
      <c r="A155" s="105">
        <f t="shared" si="6"/>
        <v>35</v>
      </c>
      <c r="B155" s="103" t="str">
        <f t="shared" si="6"/>
        <v>Shofi Inayah, S.Pd.</v>
      </c>
      <c r="C155" s="103">
        <f t="shared" si="6"/>
        <v>2015057621</v>
      </c>
      <c r="D155" s="104">
        <f t="shared" si="6"/>
        <v>300000</v>
      </c>
      <c r="E155" s="104">
        <f t="shared" si="6"/>
        <v>1365500</v>
      </c>
      <c r="F155" s="104">
        <f t="shared" si="3"/>
        <v>1799096</v>
      </c>
      <c r="G155" s="104">
        <f t="shared" si="7"/>
        <v>133596</v>
      </c>
    </row>
    <row r="156" spans="1:7" x14ac:dyDescent="0.25">
      <c r="A156" s="105" t="e">
        <f t="shared" si="6"/>
        <v>#REF!</v>
      </c>
      <c r="B156" s="103" t="e">
        <f t="shared" si="6"/>
        <v>#REF!</v>
      </c>
      <c r="C156" s="103">
        <f t="shared" si="6"/>
        <v>3015134525</v>
      </c>
      <c r="D156" s="104" t="e">
        <f t="shared" si="6"/>
        <v>#REF!</v>
      </c>
      <c r="E156" s="104" t="e">
        <f t="shared" si="6"/>
        <v>#REF!</v>
      </c>
      <c r="F156" s="104" t="e">
        <f t="shared" si="3"/>
        <v>#REF!</v>
      </c>
      <c r="G156" s="104" t="e">
        <f t="shared" si="7"/>
        <v>#REF!</v>
      </c>
    </row>
    <row r="157" spans="1:7" x14ac:dyDescent="0.25">
      <c r="A157" s="105">
        <f t="shared" si="6"/>
        <v>32</v>
      </c>
      <c r="B157" s="103" t="str">
        <f t="shared" si="6"/>
        <v xml:space="preserve">Nihlatillah, S.Pd. </v>
      </c>
      <c r="C157" s="103">
        <f t="shared" si="6"/>
        <v>3015118091</v>
      </c>
      <c r="D157" s="104">
        <f t="shared" si="6"/>
        <v>200000</v>
      </c>
      <c r="E157" s="104">
        <f t="shared" si="6"/>
        <v>1335000</v>
      </c>
      <c r="F157" s="104">
        <f t="shared" si="3"/>
        <v>2387296</v>
      </c>
      <c r="G157" s="104">
        <f t="shared" si="7"/>
        <v>852296</v>
      </c>
    </row>
    <row r="158" spans="1:7" x14ac:dyDescent="0.25">
      <c r="A158" s="105">
        <f t="shared" si="6"/>
        <v>34</v>
      </c>
      <c r="B158" s="103" t="str">
        <f t="shared" si="6"/>
        <v>Titin Safitri, S.Pd.</v>
      </c>
      <c r="C158" s="103">
        <f t="shared" si="6"/>
        <v>3015118007</v>
      </c>
      <c r="D158" s="104">
        <f t="shared" si="6"/>
        <v>100000</v>
      </c>
      <c r="E158" s="104">
        <f t="shared" si="6"/>
        <v>0</v>
      </c>
      <c r="F158" s="104">
        <f t="shared" si="3"/>
        <v>2376822</v>
      </c>
      <c r="G158" s="104">
        <f t="shared" si="7"/>
        <v>2276822</v>
      </c>
    </row>
    <row r="159" spans="1:7" x14ac:dyDescent="0.25">
      <c r="A159" s="105">
        <f t="shared" si="6"/>
        <v>31</v>
      </c>
      <c r="B159" s="103" t="str">
        <f t="shared" si="6"/>
        <v>Khoiroma Aushof, S.Pd.</v>
      </c>
      <c r="C159" s="103">
        <f t="shared" si="6"/>
        <v>2015190046</v>
      </c>
      <c r="D159" s="104">
        <f t="shared" si="6"/>
        <v>0</v>
      </c>
      <c r="E159" s="104">
        <f t="shared" si="6"/>
        <v>0</v>
      </c>
      <c r="F159" s="104">
        <f t="shared" si="3"/>
        <v>2804600</v>
      </c>
      <c r="G159" s="104">
        <f t="shared" si="7"/>
        <v>2804600</v>
      </c>
    </row>
    <row r="160" spans="1:7" x14ac:dyDescent="0.25">
      <c r="A160" s="105" t="e">
        <f t="shared" si="6"/>
        <v>#REF!</v>
      </c>
      <c r="B160" s="103" t="e">
        <f t="shared" si="6"/>
        <v>#REF!</v>
      </c>
      <c r="C160" s="103" t="str">
        <f t="shared" si="6"/>
        <v>2068053687</v>
      </c>
      <c r="D160" s="104" t="e">
        <f t="shared" si="6"/>
        <v>#REF!</v>
      </c>
      <c r="E160" s="104" t="e">
        <f t="shared" si="6"/>
        <v>#REF!</v>
      </c>
      <c r="F160" s="104" t="e">
        <f t="shared" si="3"/>
        <v>#REF!</v>
      </c>
      <c r="G160" s="104" t="e">
        <f t="shared" si="7"/>
        <v>#REF!</v>
      </c>
    </row>
    <row r="161" spans="1:7" x14ac:dyDescent="0.25">
      <c r="A161" s="105">
        <f t="shared" si="6"/>
        <v>36</v>
      </c>
      <c r="B161" s="103" t="str">
        <f t="shared" si="6"/>
        <v>Mariyatu Ulfa, S.Pd.</v>
      </c>
      <c r="C161" s="103">
        <f t="shared" si="6"/>
        <v>3015117957</v>
      </c>
      <c r="D161" s="104">
        <f t="shared" si="6"/>
        <v>200000</v>
      </c>
      <c r="E161" s="104">
        <f t="shared" si="6"/>
        <v>1335000</v>
      </c>
      <c r="F161" s="104">
        <f t="shared" si="3"/>
        <v>2552792</v>
      </c>
      <c r="G161" s="104">
        <f t="shared" si="7"/>
        <v>1017792</v>
      </c>
    </row>
    <row r="162" spans="1:7" x14ac:dyDescent="0.25">
      <c r="A162" s="105">
        <f t="shared" ref="A162:E171" si="8">A39</f>
        <v>37</v>
      </c>
      <c r="B162" s="103" t="str">
        <f t="shared" si="8"/>
        <v>Faridah, M.Pd.</v>
      </c>
      <c r="C162" s="103">
        <f t="shared" si="8"/>
        <v>3015118449</v>
      </c>
      <c r="D162" s="104">
        <f t="shared" si="8"/>
        <v>200000</v>
      </c>
      <c r="E162" s="104">
        <f t="shared" si="8"/>
        <v>0</v>
      </c>
      <c r="F162" s="104">
        <f t="shared" si="3"/>
        <v>2555696</v>
      </c>
      <c r="G162" s="104">
        <f t="shared" si="7"/>
        <v>2355696</v>
      </c>
    </row>
    <row r="163" spans="1:7" x14ac:dyDescent="0.25">
      <c r="A163" s="105">
        <f t="shared" si="8"/>
        <v>20</v>
      </c>
      <c r="B163" s="103" t="str">
        <f t="shared" si="8"/>
        <v>Asmal Wafa, S.Pd.</v>
      </c>
      <c r="C163" s="103">
        <f t="shared" si="8"/>
        <v>3068082713</v>
      </c>
      <c r="D163" s="104">
        <f t="shared" si="8"/>
        <v>0</v>
      </c>
      <c r="E163" s="104">
        <f t="shared" si="8"/>
        <v>0</v>
      </c>
      <c r="F163" s="104">
        <f t="shared" si="3"/>
        <v>3174200</v>
      </c>
      <c r="G163" s="104">
        <f t="shared" si="7"/>
        <v>3174200</v>
      </c>
    </row>
    <row r="164" spans="1:7" x14ac:dyDescent="0.25">
      <c r="A164" s="105">
        <f t="shared" si="8"/>
        <v>38</v>
      </c>
      <c r="B164" s="103" t="str">
        <f t="shared" si="8"/>
        <v xml:space="preserve">Faiz Luzmi, S.Pd. </v>
      </c>
      <c r="C164" s="103">
        <f t="shared" si="8"/>
        <v>3093118773</v>
      </c>
      <c r="D164" s="104">
        <f t="shared" si="8"/>
        <v>100000</v>
      </c>
      <c r="E164" s="104">
        <f t="shared" si="8"/>
        <v>0</v>
      </c>
      <c r="F164" s="104">
        <f t="shared" si="3"/>
        <v>2670000</v>
      </c>
      <c r="G164" s="104">
        <f t="shared" si="7"/>
        <v>2570000</v>
      </c>
    </row>
    <row r="165" spans="1:7" x14ac:dyDescent="0.25">
      <c r="A165" s="105">
        <f t="shared" si="8"/>
        <v>40</v>
      </c>
      <c r="B165" s="103" t="str">
        <f t="shared" si="8"/>
        <v xml:space="preserve">Novia Aristyana, S.Pd. </v>
      </c>
      <c r="C165" s="103">
        <f t="shared" si="8"/>
        <v>3015118082</v>
      </c>
      <c r="D165" s="104">
        <f t="shared" si="8"/>
        <v>0</v>
      </c>
      <c r="E165" s="104">
        <f t="shared" si="8"/>
        <v>1365500</v>
      </c>
      <c r="F165" s="104">
        <f t="shared" si="3"/>
        <v>2184718</v>
      </c>
      <c r="G165" s="104">
        <f t="shared" si="7"/>
        <v>819218</v>
      </c>
    </row>
    <row r="166" spans="1:7" x14ac:dyDescent="0.25">
      <c r="A166" s="105">
        <f t="shared" si="8"/>
        <v>41</v>
      </c>
      <c r="B166" s="103" t="str">
        <f t="shared" si="8"/>
        <v>Ngatriatun, S.Pd.</v>
      </c>
      <c r="C166" s="103">
        <f t="shared" si="8"/>
        <v>3015117981</v>
      </c>
      <c r="D166" s="104">
        <f t="shared" si="8"/>
        <v>100000</v>
      </c>
      <c r="E166" s="104">
        <f t="shared" si="8"/>
        <v>1335000</v>
      </c>
      <c r="F166" s="104">
        <f t="shared" si="3"/>
        <v>2602844</v>
      </c>
      <c r="G166" s="104">
        <f t="shared" si="7"/>
        <v>1167844</v>
      </c>
    </row>
    <row r="167" spans="1:7" x14ac:dyDescent="0.25">
      <c r="A167" s="105">
        <f t="shared" si="8"/>
        <v>42</v>
      </c>
      <c r="B167" s="103" t="str">
        <f t="shared" si="8"/>
        <v>Ernawati, M.Pd.</v>
      </c>
      <c r="C167" s="103">
        <f t="shared" si="8"/>
        <v>3015118104</v>
      </c>
      <c r="D167" s="104">
        <f t="shared" si="8"/>
        <v>0</v>
      </c>
      <c r="E167" s="104">
        <f t="shared" si="8"/>
        <v>1335000</v>
      </c>
      <c r="F167" s="104">
        <f t="shared" si="3"/>
        <v>2667844</v>
      </c>
      <c r="G167" s="104">
        <f t="shared" si="7"/>
        <v>1332844</v>
      </c>
    </row>
    <row r="168" spans="1:7" x14ac:dyDescent="0.25">
      <c r="A168" s="105">
        <f t="shared" si="8"/>
        <v>43</v>
      </c>
      <c r="B168" s="103" t="str">
        <f t="shared" si="8"/>
        <v xml:space="preserve">Layla Qodriyyana, S.Pd. </v>
      </c>
      <c r="C168" s="103">
        <f t="shared" si="8"/>
        <v>2015057559</v>
      </c>
      <c r="D168" s="104">
        <f t="shared" si="8"/>
        <v>200000</v>
      </c>
      <c r="E168" s="104">
        <f t="shared" si="8"/>
        <v>1335000</v>
      </c>
      <c r="F168" s="104">
        <f t="shared" si="3"/>
        <v>2180570</v>
      </c>
      <c r="G168" s="104">
        <f t="shared" si="7"/>
        <v>645570</v>
      </c>
    </row>
    <row r="169" spans="1:7" x14ac:dyDescent="0.25">
      <c r="A169" s="105" t="e">
        <f t="shared" si="8"/>
        <v>#REF!</v>
      </c>
      <c r="B169" s="103" t="e">
        <f t="shared" si="8"/>
        <v>#REF!</v>
      </c>
      <c r="C169" s="103">
        <f t="shared" si="8"/>
        <v>3015118147</v>
      </c>
      <c r="D169" s="104" t="e">
        <f t="shared" si="8"/>
        <v>#REF!</v>
      </c>
      <c r="E169" s="104" t="e">
        <f t="shared" si="8"/>
        <v>#REF!</v>
      </c>
      <c r="F169" s="104" t="e">
        <f t="shared" si="3"/>
        <v>#REF!</v>
      </c>
      <c r="G169" s="104" t="e">
        <f t="shared" si="7"/>
        <v>#REF!</v>
      </c>
    </row>
    <row r="170" spans="1:7" x14ac:dyDescent="0.25">
      <c r="A170" s="105">
        <f t="shared" si="8"/>
        <v>46</v>
      </c>
      <c r="B170" s="103" t="str">
        <f t="shared" si="8"/>
        <v>Sugiyono/Sudarsono</v>
      </c>
      <c r="C170" s="103">
        <f t="shared" si="8"/>
        <v>3015122390</v>
      </c>
      <c r="D170" s="104">
        <f t="shared" si="8"/>
        <v>0</v>
      </c>
      <c r="E170" s="104">
        <f t="shared" si="8"/>
        <v>0</v>
      </c>
      <c r="F170" s="104">
        <f t="shared" si="3"/>
        <v>1207996</v>
      </c>
      <c r="G170" s="104">
        <f t="shared" si="7"/>
        <v>1207996</v>
      </c>
    </row>
    <row r="171" spans="1:7" x14ac:dyDescent="0.25">
      <c r="A171" s="105">
        <f t="shared" si="8"/>
        <v>47</v>
      </c>
      <c r="B171" s="103" t="str">
        <f t="shared" si="8"/>
        <v>Mishbahul Ulum, S.Pd.I</v>
      </c>
      <c r="C171" s="103">
        <f t="shared" si="8"/>
        <v>3015118112</v>
      </c>
      <c r="D171" s="104">
        <f t="shared" si="8"/>
        <v>0</v>
      </c>
      <c r="E171" s="104">
        <f t="shared" si="8"/>
        <v>890000</v>
      </c>
      <c r="F171" s="104">
        <f t="shared" si="3"/>
        <v>2182844</v>
      </c>
      <c r="G171" s="104">
        <f t="shared" si="7"/>
        <v>1292844</v>
      </c>
    </row>
    <row r="172" spans="1:7" x14ac:dyDescent="0.25">
      <c r="A172" s="105">
        <f t="shared" ref="A172:E181" si="9">A49</f>
        <v>48</v>
      </c>
      <c r="B172" s="103" t="str">
        <f t="shared" si="9"/>
        <v>Setiawan</v>
      </c>
      <c r="C172" s="103">
        <f t="shared" si="9"/>
        <v>2015143820</v>
      </c>
      <c r="D172" s="104">
        <f t="shared" si="9"/>
        <v>0</v>
      </c>
      <c r="E172" s="104">
        <f t="shared" si="9"/>
        <v>779000</v>
      </c>
      <c r="F172" s="104">
        <f t="shared" si="3"/>
        <v>1737326</v>
      </c>
      <c r="G172" s="104">
        <f t="shared" si="7"/>
        <v>958326</v>
      </c>
    </row>
    <row r="173" spans="1:7" x14ac:dyDescent="0.25">
      <c r="A173" s="105">
        <f t="shared" si="9"/>
        <v>49</v>
      </c>
      <c r="B173" s="103" t="str">
        <f t="shared" si="9"/>
        <v>Isniah</v>
      </c>
      <c r="C173" s="103">
        <f t="shared" si="9"/>
        <v>2119024849</v>
      </c>
      <c r="D173" s="104">
        <f t="shared" si="9"/>
        <v>50000</v>
      </c>
      <c r="E173" s="104">
        <f t="shared" si="9"/>
        <v>0</v>
      </c>
      <c r="F173" s="104">
        <f t="shared" si="3"/>
        <v>1478922</v>
      </c>
      <c r="G173" s="104">
        <f t="shared" si="7"/>
        <v>1428922</v>
      </c>
    </row>
    <row r="174" spans="1:7" x14ac:dyDescent="0.25">
      <c r="A174" s="105">
        <f t="shared" si="9"/>
        <v>50</v>
      </c>
      <c r="B174" s="103" t="str">
        <f t="shared" si="9"/>
        <v>Sholikul Hadi</v>
      </c>
      <c r="C174" s="103">
        <f t="shared" si="9"/>
        <v>3015134517</v>
      </c>
      <c r="D174" s="104">
        <f t="shared" si="9"/>
        <v>0</v>
      </c>
      <c r="E174" s="104">
        <f t="shared" si="9"/>
        <v>0</v>
      </c>
      <c r="F174" s="104">
        <f t="shared" si="3"/>
        <v>1187996</v>
      </c>
      <c r="G174" s="104">
        <f t="shared" si="7"/>
        <v>1187996</v>
      </c>
    </row>
    <row r="175" spans="1:7" x14ac:dyDescent="0.25">
      <c r="A175" s="105">
        <f t="shared" si="9"/>
        <v>51</v>
      </c>
      <c r="B175" s="103" t="str">
        <f t="shared" si="9"/>
        <v>Sutarno</v>
      </c>
      <c r="C175" s="103">
        <f t="shared" si="9"/>
        <v>3015134541</v>
      </c>
      <c r="D175" s="104">
        <f t="shared" si="9"/>
        <v>0</v>
      </c>
      <c r="E175" s="104">
        <f t="shared" si="9"/>
        <v>395500</v>
      </c>
      <c r="F175" s="104">
        <f t="shared" si="3"/>
        <v>1473670</v>
      </c>
      <c r="G175" s="104">
        <f t="shared" si="7"/>
        <v>1078170</v>
      </c>
    </row>
    <row r="176" spans="1:7" x14ac:dyDescent="0.25">
      <c r="A176" s="105">
        <f t="shared" si="9"/>
        <v>52</v>
      </c>
      <c r="B176" s="103" t="str">
        <f t="shared" si="9"/>
        <v>Purniawan</v>
      </c>
      <c r="C176" s="103">
        <f t="shared" si="9"/>
        <v>2015144125</v>
      </c>
      <c r="D176" s="104">
        <f t="shared" si="9"/>
        <v>0</v>
      </c>
      <c r="E176" s="104">
        <f t="shared" si="9"/>
        <v>0</v>
      </c>
      <c r="F176" s="104">
        <f t="shared" si="3"/>
        <v>1572100</v>
      </c>
      <c r="G176" s="104">
        <f t="shared" si="7"/>
        <v>1572100</v>
      </c>
    </row>
    <row r="177" spans="1:7" x14ac:dyDescent="0.25">
      <c r="A177" s="105">
        <f t="shared" si="9"/>
        <v>53</v>
      </c>
      <c r="B177" s="103" t="str">
        <f t="shared" si="9"/>
        <v>Andi Hermawan</v>
      </c>
      <c r="C177" s="103">
        <f t="shared" si="9"/>
        <v>2015144133</v>
      </c>
      <c r="D177" s="104">
        <f t="shared" si="9"/>
        <v>0</v>
      </c>
      <c r="E177" s="104">
        <f t="shared" si="9"/>
        <v>445000</v>
      </c>
      <c r="F177" s="104">
        <f t="shared" si="3"/>
        <v>1597700</v>
      </c>
      <c r="G177" s="104">
        <f t="shared" si="7"/>
        <v>1152700</v>
      </c>
    </row>
    <row r="178" spans="1:7" x14ac:dyDescent="0.25">
      <c r="A178" s="105">
        <f t="shared" si="9"/>
        <v>54</v>
      </c>
      <c r="B178" s="103" t="str">
        <f t="shared" si="9"/>
        <v>Muhammad Iqbal Romadhon</v>
      </c>
      <c r="C178" s="103">
        <f t="shared" si="9"/>
        <v>2015144176</v>
      </c>
      <c r="D178" s="104">
        <f t="shared" si="9"/>
        <v>0</v>
      </c>
      <c r="E178" s="104">
        <f t="shared" si="9"/>
        <v>0</v>
      </c>
      <c r="F178" s="104">
        <f t="shared" si="3"/>
        <v>1508100</v>
      </c>
      <c r="G178" s="104">
        <f t="shared" si="7"/>
        <v>1508100</v>
      </c>
    </row>
    <row r="179" spans="1:7" x14ac:dyDescent="0.25">
      <c r="A179" s="105">
        <f t="shared" si="9"/>
        <v>55</v>
      </c>
      <c r="B179" s="103" t="str">
        <f t="shared" si="9"/>
        <v>Muhammad Miftakhur Rosyad</v>
      </c>
      <c r="C179" s="103">
        <f t="shared" si="9"/>
        <v>3015216408</v>
      </c>
      <c r="D179" s="104">
        <f t="shared" si="9"/>
        <v>0</v>
      </c>
      <c r="E179" s="104">
        <f t="shared" si="9"/>
        <v>0</v>
      </c>
      <c r="F179" s="104">
        <f t="shared" ref="F179" si="10">D179+E179+G179</f>
        <v>1465200</v>
      </c>
      <c r="G179" s="104">
        <f t="shared" si="7"/>
        <v>1465200</v>
      </c>
    </row>
    <row r="180" spans="1:7" x14ac:dyDescent="0.25">
      <c r="A180" s="105" t="e">
        <f t="shared" si="9"/>
        <v>#REF!</v>
      </c>
      <c r="B180" s="103" t="e">
        <f t="shared" si="9"/>
        <v>#REF!</v>
      </c>
      <c r="C180" s="103">
        <f t="shared" si="9"/>
        <v>2093102081</v>
      </c>
      <c r="D180" s="104">
        <f t="shared" si="9"/>
        <v>0</v>
      </c>
      <c r="E180" s="104" t="e">
        <f t="shared" si="9"/>
        <v>#REF!</v>
      </c>
      <c r="F180" s="104" t="e">
        <f t="shared" ref="F180:F181" si="11">D180+E180+G180</f>
        <v>#REF!</v>
      </c>
      <c r="G180" s="104" t="e">
        <f t="shared" si="7"/>
        <v>#REF!</v>
      </c>
    </row>
    <row r="181" spans="1:7" x14ac:dyDescent="0.25">
      <c r="A181" s="105" t="e">
        <f t="shared" si="9"/>
        <v>#REF!</v>
      </c>
      <c r="B181" s="103" t="e">
        <f t="shared" si="9"/>
        <v>#REF!</v>
      </c>
      <c r="C181" s="103">
        <f t="shared" si="9"/>
        <v>2015235091</v>
      </c>
      <c r="D181" s="136">
        <f t="shared" si="9"/>
        <v>0</v>
      </c>
      <c r="E181" s="136" t="e">
        <f t="shared" si="9"/>
        <v>#REF!</v>
      </c>
      <c r="F181" s="136" t="e">
        <f t="shared" si="11"/>
        <v>#REF!</v>
      </c>
      <c r="G181" s="136" t="e">
        <f t="shared" si="7"/>
        <v>#REF!</v>
      </c>
    </row>
    <row r="182" spans="1:7" x14ac:dyDescent="0.25">
      <c r="A182" s="105">
        <f t="shared" ref="A182:E191" si="12">A59</f>
        <v>56</v>
      </c>
      <c r="B182" s="103" t="str">
        <f t="shared" si="12"/>
        <v>Aminatul Munawwaroh Al Hafidhoh</v>
      </c>
      <c r="C182" s="103">
        <f t="shared" si="12"/>
        <v>3015127766</v>
      </c>
      <c r="D182" s="136">
        <f t="shared" si="12"/>
        <v>0</v>
      </c>
      <c r="E182" s="136">
        <f t="shared" si="12"/>
        <v>0</v>
      </c>
      <c r="F182" s="136">
        <f t="shared" ref="F182" si="13">D182+E182+G182</f>
        <v>2133296</v>
      </c>
      <c r="G182" s="136">
        <f t="shared" si="7"/>
        <v>2133296</v>
      </c>
    </row>
    <row r="183" spans="1:7" x14ac:dyDescent="0.25">
      <c r="A183" s="105">
        <f t="shared" si="12"/>
        <v>57</v>
      </c>
      <c r="B183" s="103" t="str">
        <f t="shared" si="12"/>
        <v>Mufrotul Ulum</v>
      </c>
      <c r="C183" s="103">
        <f t="shared" si="12"/>
        <v>3119043122</v>
      </c>
      <c r="D183" s="104">
        <f t="shared" si="12"/>
        <v>0</v>
      </c>
      <c r="E183" s="104">
        <f t="shared" si="12"/>
        <v>0</v>
      </c>
      <c r="F183" s="104">
        <f t="shared" si="3"/>
        <v>1726674</v>
      </c>
      <c r="G183" s="104">
        <f t="shared" si="7"/>
        <v>1726674</v>
      </c>
    </row>
    <row r="184" spans="1:7" x14ac:dyDescent="0.25">
      <c r="A184" s="105">
        <f t="shared" si="12"/>
        <v>68</v>
      </c>
      <c r="B184" s="103" t="str">
        <f t="shared" si="12"/>
        <v>Khotimatul Khusna, S.Pd.I</v>
      </c>
      <c r="C184" s="103">
        <f t="shared" si="12"/>
        <v>3015118155</v>
      </c>
      <c r="D184" s="104">
        <f t="shared" si="12"/>
        <v>0</v>
      </c>
      <c r="E184" s="104">
        <f t="shared" si="12"/>
        <v>537000</v>
      </c>
      <c r="F184" s="104">
        <f t="shared" si="3"/>
        <v>150801</v>
      </c>
      <c r="G184" s="104">
        <f t="shared" ref="G184:G215" si="14">J61</f>
        <v>-386199</v>
      </c>
    </row>
    <row r="185" spans="1:7" x14ac:dyDescent="0.25">
      <c r="A185" s="105">
        <f t="shared" si="12"/>
        <v>58</v>
      </c>
      <c r="B185" s="103" t="str">
        <f t="shared" si="12"/>
        <v>Nor Umaroh, S.Sy</v>
      </c>
      <c r="C185" s="103">
        <f t="shared" si="12"/>
        <v>3015118031</v>
      </c>
      <c r="D185" s="104">
        <f t="shared" si="12"/>
        <v>0</v>
      </c>
      <c r="E185" s="104">
        <f t="shared" si="12"/>
        <v>805000</v>
      </c>
      <c r="F185" s="104">
        <f t="shared" si="3"/>
        <v>2001474</v>
      </c>
      <c r="G185" s="104">
        <f t="shared" si="14"/>
        <v>1196474</v>
      </c>
    </row>
    <row r="186" spans="1:7" x14ac:dyDescent="0.25">
      <c r="A186" s="105" t="e">
        <f t="shared" si="12"/>
        <v>#REF!</v>
      </c>
      <c r="B186" s="103" t="e">
        <f t="shared" si="12"/>
        <v>#REF!</v>
      </c>
      <c r="C186" s="103">
        <f t="shared" si="12"/>
        <v>2093036819</v>
      </c>
      <c r="D186" s="104" t="e">
        <f t="shared" si="12"/>
        <v>#REF!</v>
      </c>
      <c r="E186" s="104" t="e">
        <f t="shared" si="12"/>
        <v>#REF!</v>
      </c>
      <c r="F186" s="104" t="e">
        <f t="shared" si="3"/>
        <v>#REF!</v>
      </c>
      <c r="G186" s="104" t="e">
        <f t="shared" si="14"/>
        <v>#REF!</v>
      </c>
    </row>
    <row r="187" spans="1:7" x14ac:dyDescent="0.25">
      <c r="A187" s="105">
        <f t="shared" si="12"/>
        <v>59</v>
      </c>
      <c r="B187" s="103" t="str">
        <f t="shared" si="12"/>
        <v>Umi Hanik</v>
      </c>
      <c r="C187" s="103">
        <f t="shared" si="12"/>
        <v>3015147597</v>
      </c>
      <c r="D187" s="104">
        <f t="shared" si="12"/>
        <v>0</v>
      </c>
      <c r="E187" s="104">
        <f t="shared" si="12"/>
        <v>0</v>
      </c>
      <c r="F187" s="104">
        <f t="shared" si="3"/>
        <v>2089600</v>
      </c>
      <c r="G187" s="104">
        <f t="shared" si="14"/>
        <v>2089600</v>
      </c>
    </row>
    <row r="188" spans="1:7" x14ac:dyDescent="0.25">
      <c r="A188" s="105">
        <f t="shared" si="12"/>
        <v>60</v>
      </c>
      <c r="B188" s="103" t="str">
        <f t="shared" si="12"/>
        <v>Wahyuti, Al Hafidhoh</v>
      </c>
      <c r="C188" s="103">
        <f t="shared" si="12"/>
        <v>3015146868</v>
      </c>
      <c r="D188" s="104">
        <f t="shared" si="12"/>
        <v>0</v>
      </c>
      <c r="E188" s="104">
        <f t="shared" si="12"/>
        <v>941500</v>
      </c>
      <c r="F188" s="104">
        <f t="shared" si="3"/>
        <v>1826000</v>
      </c>
      <c r="G188" s="104">
        <f t="shared" si="14"/>
        <v>884500</v>
      </c>
    </row>
    <row r="189" spans="1:7" x14ac:dyDescent="0.25">
      <c r="A189" s="105">
        <f t="shared" si="12"/>
        <v>61</v>
      </c>
      <c r="B189" s="103" t="str">
        <f t="shared" si="12"/>
        <v>Shoutul Hidayah Al Hafidhoh</v>
      </c>
      <c r="C189" s="103">
        <f t="shared" si="12"/>
        <v>2119022269</v>
      </c>
      <c r="D189" s="104">
        <f t="shared" si="12"/>
        <v>0</v>
      </c>
      <c r="E189" s="104">
        <f t="shared" si="12"/>
        <v>664500</v>
      </c>
      <c r="F189" s="104">
        <f t="shared" si="3"/>
        <v>2157022</v>
      </c>
      <c r="G189" s="104">
        <f t="shared" si="14"/>
        <v>1492522</v>
      </c>
    </row>
    <row r="190" spans="1:7" x14ac:dyDescent="0.25">
      <c r="A190" s="105">
        <f t="shared" si="12"/>
        <v>62</v>
      </c>
      <c r="B190" s="103" t="str">
        <f t="shared" si="12"/>
        <v>Alfi Syafa'atin Al Hafidhoh</v>
      </c>
      <c r="C190" s="103">
        <f t="shared" si="12"/>
        <v>2015153680</v>
      </c>
      <c r="D190" s="104">
        <f t="shared" si="12"/>
        <v>0</v>
      </c>
      <c r="E190" s="104">
        <f t="shared" si="12"/>
        <v>0</v>
      </c>
      <c r="F190" s="104">
        <f t="shared" si="3"/>
        <v>2094000</v>
      </c>
      <c r="G190" s="104">
        <f t="shared" si="14"/>
        <v>2094000</v>
      </c>
    </row>
    <row r="191" spans="1:7" x14ac:dyDescent="0.25">
      <c r="A191" s="105">
        <f t="shared" si="12"/>
        <v>63</v>
      </c>
      <c r="B191" s="103" t="str">
        <f t="shared" si="12"/>
        <v>Ulya Nailus Saadah Al Hafidhoh</v>
      </c>
      <c r="C191" s="103">
        <f t="shared" si="12"/>
        <v>3119045036</v>
      </c>
      <c r="D191" s="104">
        <f t="shared" si="12"/>
        <v>0</v>
      </c>
      <c r="E191" s="104">
        <f t="shared" si="12"/>
        <v>0</v>
      </c>
      <c r="F191" s="104">
        <f t="shared" si="3"/>
        <v>1800000</v>
      </c>
      <c r="G191" s="104">
        <f t="shared" si="14"/>
        <v>1800000</v>
      </c>
    </row>
    <row r="192" spans="1:7" x14ac:dyDescent="0.25">
      <c r="A192" s="105">
        <f t="shared" ref="A192:E201" si="15">A69</f>
        <v>64</v>
      </c>
      <c r="B192" s="103" t="str">
        <f t="shared" si="15"/>
        <v>Rochmatun, S.Sy</v>
      </c>
      <c r="C192" s="103">
        <f t="shared" si="15"/>
        <v>2119033881</v>
      </c>
      <c r="D192" s="104">
        <f t="shared" si="15"/>
        <v>0</v>
      </c>
      <c r="E192" s="104">
        <f t="shared" si="15"/>
        <v>0</v>
      </c>
      <c r="F192" s="104">
        <f t="shared" si="3"/>
        <v>2074200</v>
      </c>
      <c r="G192" s="104">
        <f t="shared" si="14"/>
        <v>2074200</v>
      </c>
    </row>
    <row r="193" spans="1:7" x14ac:dyDescent="0.25">
      <c r="A193" s="105">
        <f t="shared" si="15"/>
        <v>65</v>
      </c>
      <c r="B193" s="103" t="str">
        <f t="shared" si="15"/>
        <v>Zeni Nur Lathifah, S.Ag Al Hafidhoh</v>
      </c>
      <c r="C193" s="103">
        <f t="shared" si="15"/>
        <v>2015168997</v>
      </c>
      <c r="D193" s="104">
        <f t="shared" si="15"/>
        <v>0</v>
      </c>
      <c r="E193" s="104">
        <f t="shared" si="15"/>
        <v>0</v>
      </c>
      <c r="F193" s="104">
        <f t="shared" ref="F193:F239" si="16">D193+E193+G193</f>
        <v>1970000</v>
      </c>
      <c r="G193" s="104">
        <f t="shared" si="14"/>
        <v>1970000</v>
      </c>
    </row>
    <row r="194" spans="1:7" x14ac:dyDescent="0.25">
      <c r="A194" s="105">
        <f t="shared" si="15"/>
        <v>66</v>
      </c>
      <c r="B194" s="103" t="str">
        <f t="shared" si="15"/>
        <v>M. Zaim Darojat, S.Pd Al hafidz</v>
      </c>
      <c r="C194" s="103">
        <f t="shared" si="15"/>
        <v>2015168971</v>
      </c>
      <c r="D194" s="104">
        <f t="shared" si="15"/>
        <v>0</v>
      </c>
      <c r="E194" s="104">
        <f t="shared" si="15"/>
        <v>0</v>
      </c>
      <c r="F194" s="104">
        <f t="shared" si="16"/>
        <v>2104600</v>
      </c>
      <c r="G194" s="104">
        <f t="shared" si="14"/>
        <v>2104600</v>
      </c>
    </row>
    <row r="195" spans="1:7" x14ac:dyDescent="0.25">
      <c r="A195" s="105">
        <f t="shared" si="15"/>
        <v>69</v>
      </c>
      <c r="B195" s="103" t="str">
        <f t="shared" si="15"/>
        <v>Zulfaa, S.Ag</v>
      </c>
      <c r="C195" s="103">
        <f t="shared" si="15"/>
        <v>3015146060</v>
      </c>
      <c r="D195" s="104">
        <f t="shared" si="15"/>
        <v>0</v>
      </c>
      <c r="E195" s="104">
        <f t="shared" si="15"/>
        <v>0</v>
      </c>
      <c r="F195" s="104">
        <f t="shared" si="16"/>
        <v>153500</v>
      </c>
      <c r="G195" s="104">
        <f t="shared" si="14"/>
        <v>153500</v>
      </c>
    </row>
    <row r="196" spans="1:7" x14ac:dyDescent="0.25">
      <c r="A196" s="105">
        <f t="shared" si="15"/>
        <v>70</v>
      </c>
      <c r="B196" s="103" t="str">
        <f t="shared" si="15"/>
        <v>Abdulloh Hafidh</v>
      </c>
      <c r="C196" s="103">
        <f t="shared" si="15"/>
        <v>2015057346</v>
      </c>
      <c r="D196" s="136">
        <f t="shared" si="15"/>
        <v>0</v>
      </c>
      <c r="E196" s="136">
        <f t="shared" si="15"/>
        <v>0</v>
      </c>
      <c r="F196" s="136">
        <f t="shared" si="16"/>
        <v>400000</v>
      </c>
      <c r="G196" s="136">
        <f t="shared" si="14"/>
        <v>400000</v>
      </c>
    </row>
    <row r="197" spans="1:7" x14ac:dyDescent="0.25">
      <c r="A197" s="105">
        <f t="shared" si="15"/>
        <v>72</v>
      </c>
      <c r="B197" s="103" t="str">
        <f t="shared" si="15"/>
        <v>Evana A'isatus Zahro, S.Pd</v>
      </c>
      <c r="C197" s="103">
        <f t="shared" si="15"/>
        <v>3015117965</v>
      </c>
      <c r="D197" s="104">
        <f t="shared" si="15"/>
        <v>0</v>
      </c>
      <c r="E197" s="104">
        <f t="shared" si="15"/>
        <v>0</v>
      </c>
      <c r="F197" s="104">
        <f t="shared" si="16"/>
        <v>3077896</v>
      </c>
      <c r="G197" s="104">
        <f t="shared" si="14"/>
        <v>3077896</v>
      </c>
    </row>
    <row r="198" spans="1:7" x14ac:dyDescent="0.25">
      <c r="A198" s="105">
        <f t="shared" si="15"/>
        <v>73</v>
      </c>
      <c r="B198" s="103" t="str">
        <f t="shared" si="15"/>
        <v>Isni Mafruchatun Nisa, S.Pd</v>
      </c>
      <c r="C198" s="103">
        <f t="shared" si="15"/>
        <v>3015168799</v>
      </c>
      <c r="D198" s="104">
        <f t="shared" si="15"/>
        <v>0</v>
      </c>
      <c r="E198" s="104">
        <f t="shared" si="15"/>
        <v>0</v>
      </c>
      <c r="F198" s="104">
        <f t="shared" si="16"/>
        <v>1918600</v>
      </c>
      <c r="G198" s="104">
        <f t="shared" si="14"/>
        <v>1918600</v>
      </c>
    </row>
    <row r="199" spans="1:7" x14ac:dyDescent="0.25">
      <c r="A199" s="105">
        <f t="shared" si="15"/>
        <v>74</v>
      </c>
      <c r="B199" s="103" t="str">
        <f t="shared" si="15"/>
        <v>Ikhda Khoirotus Syifa, S.Pd</v>
      </c>
      <c r="C199" s="103">
        <f t="shared" si="15"/>
        <v>2015167338</v>
      </c>
      <c r="D199" s="104">
        <f t="shared" si="15"/>
        <v>0</v>
      </c>
      <c r="E199" s="104">
        <f t="shared" si="15"/>
        <v>0</v>
      </c>
      <c r="F199" s="104">
        <f t="shared" si="16"/>
        <v>2505000</v>
      </c>
      <c r="G199" s="104">
        <f t="shared" si="14"/>
        <v>2505000</v>
      </c>
    </row>
    <row r="200" spans="1:7" x14ac:dyDescent="0.25">
      <c r="A200" s="105">
        <f t="shared" si="15"/>
        <v>75</v>
      </c>
      <c r="B200" s="103" t="str">
        <f t="shared" si="15"/>
        <v>Siti Mardliyah, M.Pd</v>
      </c>
      <c r="C200" s="103">
        <f t="shared" si="15"/>
        <v>3015134533</v>
      </c>
      <c r="D200" s="104">
        <f t="shared" si="15"/>
        <v>0</v>
      </c>
      <c r="E200" s="104">
        <f t="shared" si="15"/>
        <v>1317500</v>
      </c>
      <c r="F200" s="104">
        <f t="shared" si="16"/>
        <v>2911844</v>
      </c>
      <c r="G200" s="104">
        <f t="shared" si="14"/>
        <v>1594344</v>
      </c>
    </row>
    <row r="201" spans="1:7" x14ac:dyDescent="0.25">
      <c r="A201" s="105">
        <f t="shared" si="15"/>
        <v>76</v>
      </c>
      <c r="B201" s="103" t="str">
        <f t="shared" si="15"/>
        <v>Anggun Monika Lestari, S.Pd</v>
      </c>
      <c r="C201" s="103">
        <f t="shared" si="15"/>
        <v>2119027210</v>
      </c>
      <c r="D201" s="104">
        <f t="shared" si="15"/>
        <v>100000</v>
      </c>
      <c r="E201" s="104">
        <f t="shared" si="15"/>
        <v>923000</v>
      </c>
      <c r="F201" s="104">
        <f t="shared" si="16"/>
        <v>2343500</v>
      </c>
      <c r="G201" s="104">
        <f t="shared" si="14"/>
        <v>1320500</v>
      </c>
    </row>
    <row r="202" spans="1:7" x14ac:dyDescent="0.25">
      <c r="A202" s="105">
        <f t="shared" ref="A202:E211" si="17">A79</f>
        <v>77</v>
      </c>
      <c r="B202" s="103" t="str">
        <f t="shared" si="17"/>
        <v>Muhammad Wahyu Wibowo, S.Pd</v>
      </c>
      <c r="C202" s="103">
        <f t="shared" si="17"/>
        <v>3015168772</v>
      </c>
      <c r="D202" s="104">
        <f t="shared" si="17"/>
        <v>0</v>
      </c>
      <c r="E202" s="104">
        <f t="shared" si="17"/>
        <v>0</v>
      </c>
      <c r="F202" s="104">
        <f t="shared" si="16"/>
        <v>2753274</v>
      </c>
      <c r="G202" s="104">
        <f t="shared" si="14"/>
        <v>2753274</v>
      </c>
    </row>
    <row r="203" spans="1:7" x14ac:dyDescent="0.25">
      <c r="A203" s="105">
        <f t="shared" si="17"/>
        <v>78</v>
      </c>
      <c r="B203" s="103" t="str">
        <f t="shared" si="17"/>
        <v>Fajriyatuz Zahroh, S.Pd</v>
      </c>
      <c r="C203" s="103">
        <f t="shared" si="17"/>
        <v>3015168756</v>
      </c>
      <c r="D203" s="104">
        <f t="shared" si="17"/>
        <v>100000</v>
      </c>
      <c r="E203" s="104">
        <f t="shared" si="17"/>
        <v>0</v>
      </c>
      <c r="F203" s="104">
        <f t="shared" si="16"/>
        <v>2839600</v>
      </c>
      <c r="G203" s="104">
        <f t="shared" si="14"/>
        <v>2739600</v>
      </c>
    </row>
    <row r="204" spans="1:7" x14ac:dyDescent="0.25">
      <c r="A204" s="105">
        <f t="shared" si="17"/>
        <v>79</v>
      </c>
      <c r="B204" s="103" t="str">
        <f t="shared" si="17"/>
        <v>Ratna Prasetyowati, S.Pd</v>
      </c>
      <c r="C204" s="103">
        <f t="shared" si="17"/>
        <v>3015118066</v>
      </c>
      <c r="D204" s="104">
        <f t="shared" si="17"/>
        <v>0</v>
      </c>
      <c r="E204" s="104">
        <f t="shared" si="17"/>
        <v>0</v>
      </c>
      <c r="F204" s="104">
        <f t="shared" si="16"/>
        <v>2336770</v>
      </c>
      <c r="G204" s="104">
        <f t="shared" si="14"/>
        <v>2336770</v>
      </c>
    </row>
    <row r="205" spans="1:7" x14ac:dyDescent="0.25">
      <c r="A205" s="105">
        <f t="shared" si="17"/>
        <v>80</v>
      </c>
      <c r="B205" s="103" t="str">
        <f t="shared" si="17"/>
        <v>Ani Nur Wasiah, M.Pd</v>
      </c>
      <c r="C205" s="103">
        <f t="shared" si="17"/>
        <v>2015141576</v>
      </c>
      <c r="D205" s="104">
        <f t="shared" si="17"/>
        <v>0</v>
      </c>
      <c r="E205" s="104">
        <f t="shared" si="17"/>
        <v>0</v>
      </c>
      <c r="F205" s="104">
        <f t="shared" si="16"/>
        <v>2741148</v>
      </c>
      <c r="G205" s="104">
        <f t="shared" si="14"/>
        <v>2741148</v>
      </c>
    </row>
    <row r="206" spans="1:7" x14ac:dyDescent="0.25">
      <c r="A206" s="105">
        <f t="shared" si="17"/>
        <v>81</v>
      </c>
      <c r="B206" s="103" t="str">
        <f t="shared" si="17"/>
        <v>Nurul Hidayatur Rohmah, S.Pd</v>
      </c>
      <c r="C206" s="103">
        <f t="shared" si="17"/>
        <v>2015190089</v>
      </c>
      <c r="D206" s="104">
        <f t="shared" si="17"/>
        <v>0</v>
      </c>
      <c r="E206" s="104">
        <f t="shared" si="17"/>
        <v>0</v>
      </c>
      <c r="F206" s="104">
        <f t="shared" si="16"/>
        <v>2965200</v>
      </c>
      <c r="G206" s="104">
        <f t="shared" si="14"/>
        <v>2965200</v>
      </c>
    </row>
    <row r="207" spans="1:7" x14ac:dyDescent="0.25">
      <c r="A207" s="105">
        <f t="shared" si="17"/>
        <v>82</v>
      </c>
      <c r="B207" s="103" t="str">
        <f t="shared" si="17"/>
        <v>Fadzel Muhammad Rifandi, S.Pd</v>
      </c>
      <c r="C207" s="103">
        <f t="shared" si="17"/>
        <v>2015190119</v>
      </c>
      <c r="D207" s="104">
        <f t="shared" si="17"/>
        <v>0</v>
      </c>
      <c r="E207" s="104">
        <f t="shared" si="17"/>
        <v>0</v>
      </c>
      <c r="F207" s="104">
        <f t="shared" si="16"/>
        <v>2025600</v>
      </c>
      <c r="G207" s="104">
        <f t="shared" si="14"/>
        <v>2025600</v>
      </c>
    </row>
    <row r="208" spans="1:7" x14ac:dyDescent="0.25">
      <c r="A208" s="105" t="e">
        <f t="shared" si="17"/>
        <v>#REF!</v>
      </c>
      <c r="B208" s="103" t="e">
        <f t="shared" si="17"/>
        <v>#REF!</v>
      </c>
      <c r="C208" s="103">
        <f t="shared" si="17"/>
        <v>2068061582</v>
      </c>
      <c r="D208" s="104" t="e">
        <f t="shared" si="17"/>
        <v>#REF!</v>
      </c>
      <c r="E208" s="104" t="e">
        <f t="shared" si="17"/>
        <v>#REF!</v>
      </c>
      <c r="F208" s="104" t="e">
        <f t="shared" si="16"/>
        <v>#REF!</v>
      </c>
      <c r="G208" s="104" t="e">
        <f t="shared" si="14"/>
        <v>#REF!</v>
      </c>
    </row>
    <row r="209" spans="1:7" x14ac:dyDescent="0.25">
      <c r="A209" s="105" t="e">
        <f t="shared" si="17"/>
        <v>#REF!</v>
      </c>
      <c r="B209" s="103" t="e">
        <f t="shared" si="17"/>
        <v>#REF!</v>
      </c>
      <c r="C209" s="103">
        <f t="shared" si="17"/>
        <v>2015190101</v>
      </c>
      <c r="D209" s="104" t="e">
        <f t="shared" si="17"/>
        <v>#REF!</v>
      </c>
      <c r="E209" s="104" t="e">
        <f t="shared" si="17"/>
        <v>#REF!</v>
      </c>
      <c r="F209" s="104" t="e">
        <f t="shared" si="16"/>
        <v>#REF!</v>
      </c>
      <c r="G209" s="104" t="e">
        <f t="shared" si="14"/>
        <v>#REF!</v>
      </c>
    </row>
    <row r="210" spans="1:7" x14ac:dyDescent="0.25">
      <c r="A210" s="105">
        <f t="shared" si="17"/>
        <v>84</v>
      </c>
      <c r="B210" s="103" t="str">
        <f t="shared" si="17"/>
        <v>Heni Ari Hidayah, S.Pd</v>
      </c>
      <c r="C210" s="103">
        <f t="shared" si="17"/>
        <v>3015169582</v>
      </c>
      <c r="D210" s="104">
        <f t="shared" si="17"/>
        <v>100000</v>
      </c>
      <c r="E210" s="104">
        <f t="shared" si="17"/>
        <v>1138000</v>
      </c>
      <c r="F210" s="104">
        <f t="shared" si="16"/>
        <v>2774496</v>
      </c>
      <c r="G210" s="104">
        <f t="shared" si="14"/>
        <v>1536496</v>
      </c>
    </row>
    <row r="211" spans="1:7" x14ac:dyDescent="0.25">
      <c r="A211" s="105" t="e">
        <f t="shared" si="17"/>
        <v>#REF!</v>
      </c>
      <c r="B211" s="103" t="e">
        <f t="shared" si="17"/>
        <v>#REF!</v>
      </c>
      <c r="C211" s="103">
        <f t="shared" si="17"/>
        <v>2119064646</v>
      </c>
      <c r="D211" s="104" t="e">
        <f t="shared" si="17"/>
        <v>#REF!</v>
      </c>
      <c r="E211" s="104" t="e">
        <f t="shared" si="17"/>
        <v>#REF!</v>
      </c>
      <c r="F211" s="104" t="e">
        <f t="shared" si="16"/>
        <v>#REF!</v>
      </c>
      <c r="G211" s="104" t="e">
        <f t="shared" si="14"/>
        <v>#REF!</v>
      </c>
    </row>
    <row r="212" spans="1:7" x14ac:dyDescent="0.25">
      <c r="A212" s="105">
        <f t="shared" ref="A212:E219" si="18">A89</f>
        <v>86</v>
      </c>
      <c r="B212" s="103" t="str">
        <f t="shared" si="18"/>
        <v>Hananingtyas Hapsari</v>
      </c>
      <c r="C212" s="103">
        <f t="shared" si="18"/>
        <v>2015227756</v>
      </c>
      <c r="D212" s="104">
        <f t="shared" si="18"/>
        <v>0</v>
      </c>
      <c r="E212" s="104">
        <f t="shared" si="18"/>
        <v>0</v>
      </c>
      <c r="F212" s="104">
        <f t="shared" si="16"/>
        <v>2094600</v>
      </c>
      <c r="G212" s="104">
        <f t="shared" si="14"/>
        <v>2094600</v>
      </c>
    </row>
    <row r="213" spans="1:7" x14ac:dyDescent="0.25">
      <c r="A213" s="105">
        <f t="shared" si="18"/>
        <v>89</v>
      </c>
      <c r="B213" s="103" t="str">
        <f t="shared" si="18"/>
        <v>Harisatul Hidayati, S.Pd.I</v>
      </c>
      <c r="C213" s="103">
        <f t="shared" si="18"/>
        <v>3119056518</v>
      </c>
      <c r="D213" s="104">
        <f t="shared" si="18"/>
        <v>0</v>
      </c>
      <c r="E213" s="104">
        <f t="shared" si="18"/>
        <v>0</v>
      </c>
      <c r="F213" s="104">
        <f t="shared" si="16"/>
        <v>-287700</v>
      </c>
      <c r="G213" s="104">
        <f t="shared" si="14"/>
        <v>-287700</v>
      </c>
    </row>
    <row r="214" spans="1:7" ht="15.75" customHeight="1" x14ac:dyDescent="0.25">
      <c r="A214" s="105">
        <f t="shared" si="18"/>
        <v>90</v>
      </c>
      <c r="B214" s="103" t="str">
        <f t="shared" si="18"/>
        <v>Nilna Maulidatul Wafa</v>
      </c>
      <c r="C214" s="103">
        <v>2068093522</v>
      </c>
      <c r="D214" s="104">
        <f t="shared" si="18"/>
        <v>0</v>
      </c>
      <c r="E214" s="104">
        <f t="shared" si="18"/>
        <v>0</v>
      </c>
      <c r="F214" s="104">
        <f t="shared" si="16"/>
        <v>0</v>
      </c>
      <c r="G214" s="104">
        <f t="shared" si="14"/>
        <v>0</v>
      </c>
    </row>
    <row r="215" spans="1:7" x14ac:dyDescent="0.25">
      <c r="A215" s="105">
        <f t="shared" si="18"/>
        <v>91</v>
      </c>
      <c r="B215" s="103" t="str">
        <f t="shared" si="18"/>
        <v>Fitrotul Hidayah, S.Pd</v>
      </c>
      <c r="C215" s="103">
        <v>2015168385</v>
      </c>
      <c r="D215" s="104">
        <f t="shared" si="18"/>
        <v>0</v>
      </c>
      <c r="E215" s="104">
        <f t="shared" si="18"/>
        <v>0</v>
      </c>
      <c r="F215" s="104">
        <f t="shared" si="16"/>
        <v>0</v>
      </c>
      <c r="G215" s="104">
        <f t="shared" si="14"/>
        <v>0</v>
      </c>
    </row>
    <row r="216" spans="1:7" x14ac:dyDescent="0.25">
      <c r="A216" s="105">
        <f t="shared" si="18"/>
        <v>92</v>
      </c>
      <c r="B216" s="103" t="str">
        <f t="shared" si="18"/>
        <v>Zavira Ayu Listiyani</v>
      </c>
      <c r="C216" s="103">
        <f t="shared" si="18"/>
        <v>3015169981</v>
      </c>
      <c r="D216" s="104">
        <f t="shared" si="18"/>
        <v>0</v>
      </c>
      <c r="E216" s="104">
        <f t="shared" si="18"/>
        <v>779000</v>
      </c>
      <c r="F216" s="104">
        <f t="shared" si="16"/>
        <v>1691848</v>
      </c>
      <c r="G216" s="104">
        <f t="shared" ref="G216:G239" si="19">J93</f>
        <v>912848</v>
      </c>
    </row>
    <row r="217" spans="1:7" x14ac:dyDescent="0.25">
      <c r="A217" s="105">
        <f t="shared" si="18"/>
        <v>93</v>
      </c>
      <c r="B217" s="103" t="str">
        <f t="shared" si="18"/>
        <v>Ahmad Ridwan</v>
      </c>
      <c r="C217" s="103">
        <f t="shared" si="18"/>
        <v>2015144184</v>
      </c>
      <c r="D217" s="104">
        <f t="shared" si="18"/>
        <v>0</v>
      </c>
      <c r="E217" s="104">
        <f t="shared" si="18"/>
        <v>0</v>
      </c>
      <c r="F217" s="104">
        <f t="shared" si="16"/>
        <v>1537300</v>
      </c>
      <c r="G217" s="104">
        <f t="shared" si="19"/>
        <v>1537300</v>
      </c>
    </row>
    <row r="218" spans="1:7" x14ac:dyDescent="0.25">
      <c r="A218" s="105">
        <f t="shared" si="18"/>
        <v>94</v>
      </c>
      <c r="B218" s="103" t="str">
        <f t="shared" si="18"/>
        <v>Bahrul Ulum, S.Kom</v>
      </c>
      <c r="C218" s="103">
        <f t="shared" si="18"/>
        <v>2015190259</v>
      </c>
      <c r="D218" s="104">
        <f t="shared" si="18"/>
        <v>0</v>
      </c>
      <c r="E218" s="104">
        <f t="shared" si="18"/>
        <v>0</v>
      </c>
      <c r="F218" s="104">
        <f t="shared" si="16"/>
        <v>2039600</v>
      </c>
      <c r="G218" s="104">
        <f t="shared" si="19"/>
        <v>2039600</v>
      </c>
    </row>
    <row r="219" spans="1:7" x14ac:dyDescent="0.25">
      <c r="A219" s="105">
        <f t="shared" si="18"/>
        <v>95</v>
      </c>
      <c r="B219" s="103" t="str">
        <f t="shared" si="18"/>
        <v>Muhammad Khotim</v>
      </c>
      <c r="C219" s="103">
        <f t="shared" si="18"/>
        <v>2119067149</v>
      </c>
      <c r="D219" s="104">
        <f t="shared" si="18"/>
        <v>0</v>
      </c>
      <c r="E219" s="104">
        <f t="shared" si="18"/>
        <v>0</v>
      </c>
      <c r="F219" s="104">
        <f t="shared" ref="F219" si="20">D219+E219+G219</f>
        <v>1640600</v>
      </c>
      <c r="G219" s="104">
        <f t="shared" si="19"/>
        <v>1640600</v>
      </c>
    </row>
    <row r="220" spans="1:7" x14ac:dyDescent="0.25">
      <c r="A220" s="105">
        <f t="shared" ref="A220:B235" si="21">A97</f>
        <v>98</v>
      </c>
      <c r="B220" s="103" t="str">
        <f t="shared" si="21"/>
        <v>Ust. Muh. Sabiq Baqiyyatullah Al Hafidl</v>
      </c>
      <c r="C220" s="103">
        <f t="shared" ref="C220:E239" si="22">C97</f>
        <v>2015144320</v>
      </c>
      <c r="D220" s="104">
        <f t="shared" si="22"/>
        <v>0</v>
      </c>
      <c r="E220" s="104">
        <f t="shared" si="22"/>
        <v>0</v>
      </c>
      <c r="F220" s="104">
        <f t="shared" si="16"/>
        <v>2430474</v>
      </c>
      <c r="G220" s="104">
        <f t="shared" si="19"/>
        <v>2430474</v>
      </c>
    </row>
    <row r="221" spans="1:7" x14ac:dyDescent="0.25">
      <c r="A221" s="105">
        <f t="shared" si="21"/>
        <v>99</v>
      </c>
      <c r="B221" s="103" t="str">
        <f t="shared" si="21"/>
        <v>Ust. Ulil Absor, S.Pd.I</v>
      </c>
      <c r="C221" s="103">
        <f t="shared" si="22"/>
        <v>2015168865</v>
      </c>
      <c r="D221" s="104">
        <f t="shared" si="22"/>
        <v>0</v>
      </c>
      <c r="E221" s="104">
        <f t="shared" si="22"/>
        <v>0</v>
      </c>
      <c r="F221" s="104">
        <f t="shared" si="16"/>
        <v>1826400</v>
      </c>
      <c r="G221" s="104">
        <f t="shared" si="19"/>
        <v>1826400</v>
      </c>
    </row>
    <row r="222" spans="1:7" x14ac:dyDescent="0.25">
      <c r="A222" s="105">
        <f t="shared" si="21"/>
        <v>100</v>
      </c>
      <c r="B222" s="103" t="str">
        <f t="shared" si="21"/>
        <v>Ust. Syukron Ali, S.Hum</v>
      </c>
      <c r="C222" s="103">
        <f t="shared" si="22"/>
        <v>2015178658</v>
      </c>
      <c r="D222" s="104">
        <f t="shared" si="22"/>
        <v>0</v>
      </c>
      <c r="E222" s="104">
        <f t="shared" si="22"/>
        <v>805000</v>
      </c>
      <c r="F222" s="104">
        <f t="shared" si="16"/>
        <v>2048200</v>
      </c>
      <c r="G222" s="104">
        <f t="shared" si="19"/>
        <v>1243200</v>
      </c>
    </row>
    <row r="223" spans="1:7" x14ac:dyDescent="0.25">
      <c r="A223" s="105">
        <f t="shared" si="21"/>
        <v>101</v>
      </c>
      <c r="B223" s="103" t="str">
        <f t="shared" si="21"/>
        <v>Ustdz. Siti Ruqoyah, S.Pd</v>
      </c>
      <c r="C223" s="103">
        <f t="shared" si="22"/>
        <v>3015209568</v>
      </c>
      <c r="D223" s="104">
        <f t="shared" si="22"/>
        <v>0</v>
      </c>
      <c r="E223" s="104">
        <f t="shared" si="22"/>
        <v>0</v>
      </c>
      <c r="F223" s="104">
        <f t="shared" si="16"/>
        <v>2078900</v>
      </c>
      <c r="G223" s="104">
        <f t="shared" si="19"/>
        <v>2078900</v>
      </c>
    </row>
    <row r="224" spans="1:7" x14ac:dyDescent="0.25">
      <c r="A224" s="105">
        <f t="shared" si="21"/>
        <v>102</v>
      </c>
      <c r="B224" s="103" t="str">
        <f t="shared" si="21"/>
        <v>Ust. Muhammad Syafi'ul Anam Al Hafidh</v>
      </c>
      <c r="C224" s="103">
        <f t="shared" si="22"/>
        <v>2015210241</v>
      </c>
      <c r="D224" s="104">
        <f t="shared" si="22"/>
        <v>0</v>
      </c>
      <c r="E224" s="104">
        <f t="shared" si="22"/>
        <v>0</v>
      </c>
      <c r="F224" s="104">
        <f t="shared" si="16"/>
        <v>2101000</v>
      </c>
      <c r="G224" s="104">
        <f t="shared" si="19"/>
        <v>2101000</v>
      </c>
    </row>
    <row r="225" spans="1:7" x14ac:dyDescent="0.25">
      <c r="A225" s="105">
        <f t="shared" si="21"/>
        <v>103</v>
      </c>
      <c r="B225" s="103" t="str">
        <f t="shared" si="21"/>
        <v>Ust. Firmansyah Maulana, SE</v>
      </c>
      <c r="C225" s="103">
        <f t="shared" si="22"/>
        <v>2093091828</v>
      </c>
      <c r="D225" s="104">
        <f t="shared" si="22"/>
        <v>0</v>
      </c>
      <c r="E225" s="104">
        <f t="shared" si="22"/>
        <v>0</v>
      </c>
      <c r="F225" s="104">
        <f t="shared" si="16"/>
        <v>2339200</v>
      </c>
      <c r="G225" s="104">
        <f t="shared" si="19"/>
        <v>2339200</v>
      </c>
    </row>
    <row r="226" spans="1:7" x14ac:dyDescent="0.25">
      <c r="A226" s="105">
        <f t="shared" si="21"/>
        <v>104</v>
      </c>
      <c r="B226" s="103" t="str">
        <f t="shared" si="21"/>
        <v>Ustdz. Hilyatus Syarif Al Hafidloh</v>
      </c>
      <c r="C226" s="103">
        <f t="shared" si="22"/>
        <v>2068066819</v>
      </c>
      <c r="D226" s="104">
        <f t="shared" si="22"/>
        <v>0</v>
      </c>
      <c r="E226" s="104">
        <f t="shared" si="22"/>
        <v>0</v>
      </c>
      <c r="F226" s="104">
        <f t="shared" si="16"/>
        <v>2139500</v>
      </c>
      <c r="G226" s="104">
        <f t="shared" si="19"/>
        <v>2139500</v>
      </c>
    </row>
    <row r="227" spans="1:7" x14ac:dyDescent="0.25">
      <c r="A227" s="105" t="e">
        <f t="shared" si="21"/>
        <v>#REF!</v>
      </c>
      <c r="B227" s="103" t="e">
        <f t="shared" si="21"/>
        <v>#REF!</v>
      </c>
      <c r="C227" s="103">
        <f t="shared" si="22"/>
        <v>2139066238</v>
      </c>
      <c r="D227" s="104" t="e">
        <f t="shared" si="22"/>
        <v>#REF!</v>
      </c>
      <c r="E227" s="104" t="e">
        <f t="shared" si="22"/>
        <v>#REF!</v>
      </c>
      <c r="F227" s="104" t="e">
        <f t="shared" si="16"/>
        <v>#REF!</v>
      </c>
      <c r="G227" s="104" t="e">
        <f t="shared" si="19"/>
        <v>#REF!</v>
      </c>
    </row>
    <row r="228" spans="1:7" x14ac:dyDescent="0.25">
      <c r="A228" s="105">
        <f t="shared" si="21"/>
        <v>105</v>
      </c>
      <c r="B228" s="103" t="str">
        <f t="shared" si="21"/>
        <v>Ustdz. Nailul Muna</v>
      </c>
      <c r="C228" s="103">
        <f t="shared" si="22"/>
        <v>3119078589</v>
      </c>
      <c r="D228" s="104">
        <f t="shared" si="22"/>
        <v>0</v>
      </c>
      <c r="E228" s="104">
        <f t="shared" si="22"/>
        <v>0</v>
      </c>
      <c r="F228" s="104">
        <f t="shared" si="16"/>
        <v>2015200</v>
      </c>
      <c r="G228" s="104">
        <f t="shared" si="19"/>
        <v>2015200</v>
      </c>
    </row>
    <row r="229" spans="1:7" x14ac:dyDescent="0.25">
      <c r="A229" s="105" t="e">
        <f t="shared" si="21"/>
        <v>#REF!</v>
      </c>
      <c r="B229" s="103" t="e">
        <f t="shared" si="21"/>
        <v>#REF!</v>
      </c>
      <c r="C229" s="103" t="str">
        <f t="shared" si="22"/>
        <v>2015214620</v>
      </c>
      <c r="D229" s="104" t="e">
        <f t="shared" si="22"/>
        <v>#REF!</v>
      </c>
      <c r="E229" s="104" t="e">
        <f t="shared" si="22"/>
        <v>#REF!</v>
      </c>
      <c r="F229" s="104" t="e">
        <f t="shared" si="16"/>
        <v>#REF!</v>
      </c>
      <c r="G229" s="104" t="e">
        <f t="shared" si="19"/>
        <v>#REF!</v>
      </c>
    </row>
    <row r="230" spans="1:7" x14ac:dyDescent="0.25">
      <c r="A230" s="105">
        <f t="shared" si="21"/>
        <v>106</v>
      </c>
      <c r="B230" s="103" t="str">
        <f t="shared" si="21"/>
        <v>Ust. M.Tijani Robert Kalthoum</v>
      </c>
      <c r="C230" s="103">
        <f t="shared" si="22"/>
        <v>2015227713</v>
      </c>
      <c r="D230" s="104">
        <f t="shared" si="22"/>
        <v>0</v>
      </c>
      <c r="E230" s="104">
        <f t="shared" si="22"/>
        <v>0</v>
      </c>
      <c r="F230" s="104">
        <f t="shared" si="16"/>
        <v>2057000</v>
      </c>
      <c r="G230" s="104">
        <f t="shared" si="19"/>
        <v>2057000</v>
      </c>
    </row>
    <row r="231" spans="1:7" x14ac:dyDescent="0.25">
      <c r="A231" s="105">
        <f t="shared" si="21"/>
        <v>107</v>
      </c>
      <c r="B231" s="103" t="str">
        <f t="shared" si="21"/>
        <v>Ustdz. Wardah Alfin Noer</v>
      </c>
      <c r="C231" s="103">
        <f t="shared" si="22"/>
        <v>2015227721</v>
      </c>
      <c r="D231" s="104">
        <f t="shared" si="22"/>
        <v>0</v>
      </c>
      <c r="E231" s="104">
        <f t="shared" si="22"/>
        <v>0</v>
      </c>
      <c r="F231" s="104">
        <f t="shared" si="16"/>
        <v>1896400</v>
      </c>
      <c r="G231" s="104">
        <f t="shared" si="19"/>
        <v>1896400</v>
      </c>
    </row>
    <row r="232" spans="1:7" x14ac:dyDescent="0.25">
      <c r="A232" s="105">
        <f t="shared" si="21"/>
        <v>110</v>
      </c>
      <c r="B232" s="103" t="str">
        <f t="shared" si="21"/>
        <v>Ust. Hasan Bahauddin</v>
      </c>
      <c r="C232" s="103">
        <f t="shared" si="22"/>
        <v>2015193673</v>
      </c>
      <c r="D232" s="104">
        <f t="shared" si="22"/>
        <v>0</v>
      </c>
      <c r="E232" s="104">
        <f t="shared" si="22"/>
        <v>0</v>
      </c>
      <c r="F232" s="104">
        <f t="shared" si="16"/>
        <v>-15000</v>
      </c>
      <c r="G232" s="104">
        <f t="shared" si="19"/>
        <v>-15000</v>
      </c>
    </row>
    <row r="233" spans="1:7" x14ac:dyDescent="0.25">
      <c r="A233" s="105">
        <f t="shared" si="21"/>
        <v>111</v>
      </c>
      <c r="B233" s="103" t="str">
        <f t="shared" si="21"/>
        <v>Ust. Muh. Rojih Sibghotallah Al Hafidl</v>
      </c>
      <c r="C233" s="103">
        <f t="shared" si="22"/>
        <v>2015170762</v>
      </c>
      <c r="D233" s="104">
        <f t="shared" si="22"/>
        <v>0</v>
      </c>
      <c r="E233" s="104">
        <f t="shared" si="22"/>
        <v>0</v>
      </c>
      <c r="F233" s="104">
        <f t="shared" si="16"/>
        <v>-13217</v>
      </c>
      <c r="G233" s="104">
        <f t="shared" si="19"/>
        <v>-13217</v>
      </c>
    </row>
    <row r="234" spans="1:7" x14ac:dyDescent="0.25">
      <c r="A234" s="105">
        <f t="shared" si="21"/>
        <v>112</v>
      </c>
      <c r="B234" s="103" t="str">
        <f t="shared" si="21"/>
        <v>Ust. Kholilur Rohman Al Hafidl</v>
      </c>
      <c r="C234" s="103">
        <f t="shared" si="22"/>
        <v>2015000358</v>
      </c>
      <c r="D234" s="104">
        <f t="shared" si="22"/>
        <v>0</v>
      </c>
      <c r="E234" s="104">
        <f t="shared" si="22"/>
        <v>0</v>
      </c>
      <c r="F234" s="104">
        <f t="shared" si="16"/>
        <v>-15000</v>
      </c>
      <c r="G234" s="104">
        <f t="shared" si="19"/>
        <v>-15000</v>
      </c>
    </row>
    <row r="235" spans="1:7" x14ac:dyDescent="0.25">
      <c r="A235" s="105">
        <f t="shared" si="21"/>
        <v>113</v>
      </c>
      <c r="B235" s="103" t="str">
        <f t="shared" si="21"/>
        <v>Ust. Fatchurrohman</v>
      </c>
      <c r="C235" s="103">
        <f t="shared" si="22"/>
        <v>3015260679</v>
      </c>
      <c r="D235" s="104">
        <f t="shared" si="22"/>
        <v>0</v>
      </c>
      <c r="E235" s="104">
        <f t="shared" si="22"/>
        <v>0</v>
      </c>
      <c r="F235" s="104">
        <f t="shared" si="16"/>
        <v>-15000</v>
      </c>
      <c r="G235" s="104">
        <f t="shared" si="19"/>
        <v>-15000</v>
      </c>
    </row>
    <row r="236" spans="1:7" x14ac:dyDescent="0.25">
      <c r="A236" s="105">
        <f t="shared" ref="A236:B239" si="23">A113</f>
        <v>114</v>
      </c>
      <c r="B236" s="103" t="str">
        <f t="shared" si="23"/>
        <v>Hendry Setya Laksono, S.Pd.</v>
      </c>
      <c r="C236" s="103">
        <f t="shared" si="22"/>
        <v>3015128193</v>
      </c>
      <c r="D236" s="104">
        <f t="shared" si="22"/>
        <v>0</v>
      </c>
      <c r="E236" s="104">
        <f t="shared" si="22"/>
        <v>0</v>
      </c>
      <c r="F236" s="104">
        <f t="shared" si="16"/>
        <v>-15000</v>
      </c>
      <c r="G236" s="104">
        <f t="shared" si="19"/>
        <v>-15000</v>
      </c>
    </row>
    <row r="237" spans="1:7" x14ac:dyDescent="0.25">
      <c r="A237" s="105">
        <f t="shared" si="23"/>
        <v>115</v>
      </c>
      <c r="B237" s="103" t="str">
        <f t="shared" si="23"/>
        <v>Supardi</v>
      </c>
      <c r="C237" s="103">
        <f t="shared" si="22"/>
        <v>3119065428</v>
      </c>
      <c r="D237" s="104">
        <f t="shared" si="22"/>
        <v>0</v>
      </c>
      <c r="E237" s="104">
        <f t="shared" si="22"/>
        <v>0</v>
      </c>
      <c r="F237" s="104">
        <f t="shared" si="16"/>
        <v>1020900</v>
      </c>
      <c r="G237" s="104">
        <f t="shared" si="19"/>
        <v>1020900</v>
      </c>
    </row>
    <row r="238" spans="1:7" x14ac:dyDescent="0.25">
      <c r="A238" s="105">
        <f t="shared" si="23"/>
        <v>116</v>
      </c>
      <c r="B238" s="103" t="str">
        <f t="shared" si="23"/>
        <v>Eri Erviana S.Pd.</v>
      </c>
      <c r="C238" s="103">
        <f t="shared" si="22"/>
        <v>3093147218</v>
      </c>
      <c r="D238" s="104">
        <f t="shared" si="22"/>
        <v>0</v>
      </c>
      <c r="E238" s="104">
        <f t="shared" si="22"/>
        <v>0</v>
      </c>
      <c r="F238" s="104">
        <f t="shared" si="16"/>
        <v>1797500</v>
      </c>
      <c r="G238" s="104">
        <f t="shared" si="19"/>
        <v>1797500</v>
      </c>
    </row>
    <row r="239" spans="1:7" x14ac:dyDescent="0.25">
      <c r="A239" s="105">
        <f t="shared" si="23"/>
        <v>117</v>
      </c>
      <c r="B239" s="103" t="str">
        <f t="shared" si="23"/>
        <v>Sri Rohmatun S.Pd.</v>
      </c>
      <c r="C239" s="103">
        <f t="shared" si="22"/>
        <v>3119059509</v>
      </c>
      <c r="D239" s="104">
        <f t="shared" si="22"/>
        <v>0</v>
      </c>
      <c r="E239" s="104">
        <f t="shared" si="22"/>
        <v>0</v>
      </c>
      <c r="F239" s="104">
        <f t="shared" si="16"/>
        <v>1893800</v>
      </c>
      <c r="G239" s="104">
        <f t="shared" si="19"/>
        <v>1893800</v>
      </c>
    </row>
    <row r="240" spans="1:7" x14ac:dyDescent="0.25">
      <c r="A240" s="105"/>
      <c r="B240" s="103"/>
      <c r="C240" s="103"/>
      <c r="D240" s="104" t="e">
        <f t="shared" ref="D240" si="24">D117</f>
        <v>#REF!</v>
      </c>
      <c r="E240" s="104" t="e">
        <f>E117</f>
        <v>#REF!</v>
      </c>
      <c r="F240" s="104" t="e">
        <f>D240+E240+G240</f>
        <v>#REF!</v>
      </c>
      <c r="G240" s="104" t="e">
        <f>SUM(G126:G239)</f>
        <v>#REF!</v>
      </c>
    </row>
    <row r="241" spans="6:12" x14ac:dyDescent="0.25">
      <c r="H241" t="s">
        <v>320</v>
      </c>
      <c r="I241" s="2" t="e">
        <f>F240</f>
        <v>#REF!</v>
      </c>
    </row>
    <row r="242" spans="6:12" x14ac:dyDescent="0.25">
      <c r="H242" t="s">
        <v>319</v>
      </c>
      <c r="I242" s="2" t="e">
        <f>I121</f>
        <v>#REF!</v>
      </c>
      <c r="L242" s="1">
        <v>300000000</v>
      </c>
    </row>
    <row r="243" spans="6:12" x14ac:dyDescent="0.25">
      <c r="F243" s="274" t="s">
        <v>364</v>
      </c>
      <c r="G243" s="164"/>
      <c r="H243" t="s">
        <v>321</v>
      </c>
      <c r="I243" s="2" t="e">
        <f>SUM(I241:I242)</f>
        <v>#REF!</v>
      </c>
      <c r="L243" s="1"/>
    </row>
    <row r="244" spans="6:12" x14ac:dyDescent="0.25">
      <c r="F244" s="164" t="s">
        <v>328</v>
      </c>
      <c r="G244" s="164"/>
      <c r="L244" s="1">
        <v>226293589</v>
      </c>
    </row>
    <row r="245" spans="6:12" x14ac:dyDescent="0.25">
      <c r="F245" s="164"/>
      <c r="G245" s="164"/>
      <c r="L245" s="1">
        <v>18719300</v>
      </c>
    </row>
    <row r="246" spans="6:12" x14ac:dyDescent="0.25">
      <c r="F246" s="164"/>
      <c r="G246" s="164"/>
      <c r="I246" s="2" t="e">
        <f>I243-ALL!AT121</f>
        <v>#REF!</v>
      </c>
      <c r="L246" s="1">
        <v>55000000</v>
      </c>
    </row>
    <row r="247" spans="6:12" x14ac:dyDescent="0.25">
      <c r="F247" s="164"/>
      <c r="G247" s="164" t="s">
        <v>365</v>
      </c>
      <c r="L247" s="1">
        <f>SUM(L244:L246)</f>
        <v>300012889</v>
      </c>
    </row>
    <row r="248" spans="6:12" x14ac:dyDescent="0.25">
      <c r="F248" s="164" t="s">
        <v>329</v>
      </c>
      <c r="G248" s="164"/>
      <c r="L248" s="1"/>
    </row>
    <row r="250" spans="6:12" x14ac:dyDescent="0.25">
      <c r="L250" s="1">
        <v>53764000</v>
      </c>
    </row>
  </sheetData>
  <mergeCells count="2">
    <mergeCell ref="A122:G122"/>
    <mergeCell ref="A123:G123"/>
  </mergeCells>
  <printOptions horizontalCentered="1"/>
  <pageMargins left="0.70866141732283472" right="0.70866141732283472" top="0.74803149606299213" bottom="0.74803149606299213" header="0.31496062992125984" footer="0.31496062992125984"/>
  <pageSetup paperSize="10000" scale="8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"/>
  <sheetViews>
    <sheetView topLeftCell="A2" zoomScale="115" zoomScaleNormal="115" workbookViewId="0">
      <selection activeCell="E35" sqref="A1:E35"/>
    </sheetView>
  </sheetViews>
  <sheetFormatPr defaultRowHeight="15" x14ac:dyDescent="0.25"/>
  <cols>
    <col min="1" max="2" width="8.28515625" customWidth="1"/>
    <col min="3" max="3" width="24.42578125" customWidth="1"/>
    <col min="4" max="4" width="14.140625" customWidth="1"/>
    <col min="5" max="5" width="33.42578125" style="1" customWidth="1"/>
    <col min="6" max="6" width="22.85546875" customWidth="1"/>
    <col min="7" max="7" width="31.85546875" customWidth="1"/>
    <col min="8" max="8" width="13.28515625" bestFit="1" customWidth="1"/>
    <col min="9" max="9" width="16.7109375" customWidth="1"/>
    <col min="10" max="10" width="12.5703125" bestFit="1" customWidth="1"/>
    <col min="11" max="11" width="18.28515625" customWidth="1"/>
    <col min="12" max="12" width="12.5703125" bestFit="1" customWidth="1"/>
  </cols>
  <sheetData>
    <row r="1" spans="1:12" ht="15.75" x14ac:dyDescent="0.25">
      <c r="A1" s="542" t="s">
        <v>120</v>
      </c>
      <c r="B1" s="542"/>
      <c r="C1" s="542"/>
      <c r="D1" s="542"/>
      <c r="E1" s="542"/>
      <c r="F1" s="83"/>
      <c r="G1" s="543" t="s">
        <v>120</v>
      </c>
      <c r="H1" s="543"/>
      <c r="I1" s="543"/>
      <c r="J1" s="543"/>
      <c r="K1" s="543"/>
    </row>
    <row r="2" spans="1:12" ht="15.75" x14ac:dyDescent="0.25">
      <c r="A2" s="542" t="s">
        <v>123</v>
      </c>
      <c r="B2" s="542"/>
      <c r="C2" s="542"/>
      <c r="D2" s="542"/>
      <c r="E2" s="542"/>
      <c r="F2" s="83"/>
      <c r="G2" s="543" t="s">
        <v>123</v>
      </c>
      <c r="H2" s="543"/>
      <c r="I2" s="543"/>
      <c r="J2" s="543"/>
      <c r="K2" s="543"/>
    </row>
    <row r="3" spans="1:12" ht="15.75" x14ac:dyDescent="0.25">
      <c r="A3" s="542" t="s">
        <v>513</v>
      </c>
      <c r="B3" s="542"/>
      <c r="C3" s="542"/>
      <c r="D3" s="542"/>
      <c r="E3" s="542"/>
      <c r="F3" s="83"/>
      <c r="G3" s="543" t="s">
        <v>195</v>
      </c>
      <c r="H3" s="543"/>
      <c r="I3" s="543"/>
      <c r="J3" s="543"/>
      <c r="K3" s="543"/>
    </row>
    <row r="4" spans="1:12" ht="15.75" x14ac:dyDescent="0.25">
      <c r="C4" s="270" t="s">
        <v>362</v>
      </c>
      <c r="D4" s="273" t="s">
        <v>488</v>
      </c>
      <c r="E4" s="33"/>
      <c r="F4" s="83"/>
      <c r="G4" s="543" t="s">
        <v>205</v>
      </c>
      <c r="H4" s="543"/>
      <c r="I4" s="543"/>
      <c r="J4" s="543"/>
      <c r="K4" s="543"/>
    </row>
    <row r="5" spans="1:12" x14ac:dyDescent="0.25">
      <c r="A5" s="159"/>
      <c r="B5" s="159"/>
      <c r="C5" s="159"/>
      <c r="D5" s="159"/>
      <c r="E5" s="160"/>
      <c r="F5" s="83"/>
      <c r="G5" s="83"/>
      <c r="H5" s="83"/>
      <c r="I5" s="83"/>
      <c r="J5" s="83"/>
      <c r="K5" s="83"/>
    </row>
    <row r="6" spans="1:12" ht="24" customHeight="1" x14ac:dyDescent="0.25">
      <c r="A6" s="34" t="s">
        <v>0</v>
      </c>
      <c r="B6" s="531" t="s">
        <v>75</v>
      </c>
      <c r="C6" s="532"/>
      <c r="D6" s="538" t="s">
        <v>76</v>
      </c>
      <c r="E6" s="539"/>
      <c r="F6" s="83"/>
      <c r="G6" s="84" t="s">
        <v>190</v>
      </c>
      <c r="H6" s="84" t="s">
        <v>191</v>
      </c>
      <c r="I6" s="85" t="s">
        <v>192</v>
      </c>
      <c r="J6" s="84" t="s">
        <v>193</v>
      </c>
      <c r="K6" s="84" t="s">
        <v>194</v>
      </c>
    </row>
    <row r="7" spans="1:12" ht="15.75" x14ac:dyDescent="0.25">
      <c r="A7" s="161">
        <v>1</v>
      </c>
      <c r="B7" s="533" t="s">
        <v>96</v>
      </c>
      <c r="C7" s="534"/>
      <c r="D7" s="540">
        <f>SEKRETARIAT!O12</f>
        <v>17093200</v>
      </c>
      <c r="E7" s="541"/>
      <c r="F7" s="83">
        <v>16088678</v>
      </c>
      <c r="G7" s="86" t="s">
        <v>196</v>
      </c>
      <c r="H7" s="87"/>
      <c r="I7" s="88"/>
      <c r="J7" s="89"/>
      <c r="K7" s="89"/>
    </row>
    <row r="8" spans="1:12" ht="15.75" x14ac:dyDescent="0.25">
      <c r="A8" s="161">
        <v>2</v>
      </c>
      <c r="B8" s="533" t="s">
        <v>77</v>
      </c>
      <c r="C8" s="534"/>
      <c r="D8" s="540">
        <f>SD!S53</f>
        <v>117894200</v>
      </c>
      <c r="E8" s="541"/>
      <c r="F8" s="83">
        <v>118016296</v>
      </c>
      <c r="G8" s="80" t="s">
        <v>197</v>
      </c>
      <c r="H8" s="102">
        <v>1</v>
      </c>
      <c r="I8" s="90">
        <f t="shared" ref="I8:I13" si="0">D7</f>
        <v>17093200</v>
      </c>
      <c r="J8" s="91">
        <v>13</v>
      </c>
      <c r="K8" s="92">
        <f t="shared" ref="K8:K13" si="1">I8*J8</f>
        <v>222211600</v>
      </c>
    </row>
    <row r="9" spans="1:12" ht="15.75" x14ac:dyDescent="0.25">
      <c r="A9" s="161">
        <v>3</v>
      </c>
      <c r="B9" s="533" t="s">
        <v>78</v>
      </c>
      <c r="C9" s="534"/>
      <c r="D9" s="540">
        <f>TPQ!R21</f>
        <v>27162427</v>
      </c>
      <c r="E9" s="541"/>
      <c r="F9" s="83">
        <v>27053266</v>
      </c>
      <c r="G9" s="80" t="s">
        <v>198</v>
      </c>
      <c r="H9" s="102">
        <v>1</v>
      </c>
      <c r="I9" s="93">
        <f t="shared" si="0"/>
        <v>117894200</v>
      </c>
      <c r="J9" s="94">
        <v>13</v>
      </c>
      <c r="K9" s="92">
        <f t="shared" si="1"/>
        <v>1532624600</v>
      </c>
    </row>
    <row r="10" spans="1:12" ht="15.75" x14ac:dyDescent="0.25">
      <c r="A10" s="161">
        <v>4</v>
      </c>
      <c r="B10" s="533" t="s">
        <v>79</v>
      </c>
      <c r="C10" s="534"/>
      <c r="D10" s="540">
        <f>SMP!S31</f>
        <v>55688800</v>
      </c>
      <c r="E10" s="541"/>
      <c r="F10" s="83">
        <v>53839682</v>
      </c>
      <c r="G10" s="80" t="s">
        <v>199</v>
      </c>
      <c r="H10" s="102">
        <v>1</v>
      </c>
      <c r="I10" s="93">
        <f t="shared" si="0"/>
        <v>27162427</v>
      </c>
      <c r="J10" s="94">
        <v>13</v>
      </c>
      <c r="K10" s="92">
        <f t="shared" si="1"/>
        <v>353111551</v>
      </c>
    </row>
    <row r="11" spans="1:12" ht="15.75" x14ac:dyDescent="0.25">
      <c r="A11" s="161">
        <v>5</v>
      </c>
      <c r="B11" s="533" t="s">
        <v>80</v>
      </c>
      <c r="C11" s="534"/>
      <c r="D11" s="540">
        <f>BOARDING!S23</f>
        <v>27352409</v>
      </c>
      <c r="E11" s="541"/>
      <c r="F11" s="83">
        <v>31485593</v>
      </c>
      <c r="G11" s="95" t="s">
        <v>200</v>
      </c>
      <c r="H11" s="102">
        <v>1</v>
      </c>
      <c r="I11" s="93">
        <f t="shared" si="0"/>
        <v>55688800</v>
      </c>
      <c r="J11" s="94">
        <v>13</v>
      </c>
      <c r="K11" s="92">
        <f t="shared" si="1"/>
        <v>723954400</v>
      </c>
    </row>
    <row r="12" spans="1:12" ht="15.75" x14ac:dyDescent="0.25">
      <c r="A12" s="161">
        <v>6</v>
      </c>
      <c r="B12" s="533" t="s">
        <v>81</v>
      </c>
      <c r="C12" s="534"/>
      <c r="D12" s="540">
        <f>PAUD!Q7</f>
        <v>3941300</v>
      </c>
      <c r="E12" s="541"/>
      <c r="F12" s="83">
        <v>4301300</v>
      </c>
      <c r="G12" s="95" t="s">
        <v>201</v>
      </c>
      <c r="H12" s="102">
        <v>1</v>
      </c>
      <c r="I12" s="93">
        <f t="shared" si="0"/>
        <v>27352409</v>
      </c>
      <c r="J12" s="94">
        <v>13</v>
      </c>
      <c r="K12" s="92">
        <f t="shared" si="1"/>
        <v>355581317</v>
      </c>
    </row>
    <row r="13" spans="1:12" ht="15.75" x14ac:dyDescent="0.25">
      <c r="A13" s="535" t="s">
        <v>82</v>
      </c>
      <c r="B13" s="536"/>
      <c r="C13" s="537"/>
      <c r="D13" s="529">
        <f>SUM(D7:E12)</f>
        <v>249132336</v>
      </c>
      <c r="E13" s="530"/>
      <c r="F13" s="83">
        <f>SUM(F7:F12)</f>
        <v>250784815</v>
      </c>
      <c r="G13" s="95" t="s">
        <v>202</v>
      </c>
      <c r="H13" s="102">
        <v>1</v>
      </c>
      <c r="I13" s="93">
        <f t="shared" si="0"/>
        <v>3941300</v>
      </c>
      <c r="J13" s="94">
        <v>13</v>
      </c>
      <c r="K13" s="92">
        <f t="shared" si="1"/>
        <v>51236900</v>
      </c>
    </row>
    <row r="14" spans="1:12" ht="15.75" x14ac:dyDescent="0.25">
      <c r="A14" s="33"/>
      <c r="B14" s="33"/>
      <c r="C14" s="33"/>
      <c r="D14" s="33"/>
      <c r="E14" s="160"/>
      <c r="F14" s="83"/>
      <c r="G14" s="96"/>
      <c r="H14" s="94"/>
      <c r="I14" s="93"/>
      <c r="J14" s="94"/>
      <c r="K14" s="97"/>
      <c r="L14" s="2"/>
    </row>
    <row r="15" spans="1:12" ht="15.75" x14ac:dyDescent="0.25">
      <c r="A15" s="159"/>
      <c r="B15" s="159"/>
      <c r="C15" s="159"/>
      <c r="D15" s="159"/>
      <c r="E15" s="512" t="s">
        <v>489</v>
      </c>
      <c r="F15" s="101"/>
      <c r="G15" s="98"/>
      <c r="H15" s="94"/>
      <c r="I15" s="99"/>
      <c r="J15" s="94"/>
      <c r="K15" s="100">
        <f>SUM(K8:K13)</f>
        <v>3238720368</v>
      </c>
      <c r="L15" s="2"/>
    </row>
    <row r="16" spans="1:12" x14ac:dyDescent="0.25">
      <c r="A16" s="159"/>
      <c r="B16" s="159"/>
      <c r="C16" s="159"/>
      <c r="D16" s="159"/>
      <c r="E16" s="162" t="s">
        <v>326</v>
      </c>
      <c r="F16" s="101"/>
      <c r="G16" s="83"/>
      <c r="H16" s="83"/>
      <c r="I16" s="83"/>
      <c r="J16" s="83"/>
      <c r="K16" s="83"/>
      <c r="L16" s="2"/>
    </row>
    <row r="17" spans="1:12" x14ac:dyDescent="0.25">
      <c r="A17" s="159"/>
      <c r="B17" s="159"/>
      <c r="C17" s="159"/>
      <c r="D17" s="159"/>
      <c r="E17" s="162" t="s">
        <v>325</v>
      </c>
      <c r="F17" s="101"/>
      <c r="G17" s="83"/>
      <c r="H17" s="52"/>
      <c r="I17" s="63"/>
      <c r="J17" s="63" t="s">
        <v>203</v>
      </c>
      <c r="K17" s="83"/>
      <c r="L17" s="2"/>
    </row>
    <row r="18" spans="1:12" x14ac:dyDescent="0.25">
      <c r="A18" s="159"/>
      <c r="B18" s="159"/>
      <c r="C18" s="159"/>
      <c r="D18" s="159"/>
      <c r="E18" s="162"/>
      <c r="F18" s="101"/>
      <c r="G18" s="83"/>
      <c r="H18" s="52"/>
      <c r="I18" s="63"/>
      <c r="J18" s="63"/>
      <c r="K18" s="83"/>
      <c r="L18" s="2"/>
    </row>
    <row r="19" spans="1:12" x14ac:dyDescent="0.25">
      <c r="A19" s="159"/>
      <c r="B19" s="159"/>
      <c r="C19" s="159"/>
      <c r="D19" s="159"/>
      <c r="E19" s="162"/>
      <c r="F19" s="101"/>
      <c r="G19" s="83"/>
      <c r="H19" s="52"/>
      <c r="I19" s="63"/>
      <c r="J19" s="63"/>
      <c r="K19" s="83"/>
      <c r="L19" s="2"/>
    </row>
    <row r="20" spans="1:12" x14ac:dyDescent="0.25">
      <c r="A20" s="159"/>
      <c r="B20" s="159"/>
      <c r="C20" s="159"/>
      <c r="D20" s="159"/>
      <c r="E20" s="162"/>
      <c r="F20" s="101"/>
      <c r="G20" s="83"/>
      <c r="H20" s="52"/>
      <c r="I20" s="63"/>
      <c r="J20" s="63" t="s">
        <v>117</v>
      </c>
      <c r="K20" s="83"/>
      <c r="L20" s="2"/>
    </row>
    <row r="21" spans="1:12" x14ac:dyDescent="0.25">
      <c r="A21" s="159"/>
      <c r="B21" s="159"/>
      <c r="C21" s="159"/>
      <c r="D21" s="159"/>
      <c r="E21" s="163" t="s">
        <v>107</v>
      </c>
      <c r="F21" s="101"/>
      <c r="G21" s="83"/>
      <c r="H21" s="52"/>
      <c r="I21" s="63"/>
      <c r="J21" s="63"/>
      <c r="K21" s="83"/>
      <c r="L21" s="2"/>
    </row>
    <row r="22" spans="1:12" x14ac:dyDescent="0.25">
      <c r="A22" s="159"/>
      <c r="B22" s="159"/>
      <c r="C22" s="159"/>
      <c r="D22" s="159"/>
      <c r="E22" s="162"/>
      <c r="F22" s="101"/>
      <c r="G22" s="83"/>
      <c r="H22" s="52"/>
      <c r="I22" s="63"/>
      <c r="J22" s="63"/>
      <c r="K22" s="83"/>
      <c r="L22" s="2"/>
    </row>
    <row r="23" spans="1:12" x14ac:dyDescent="0.25">
      <c r="A23" s="162"/>
      <c r="B23" s="162"/>
      <c r="C23" s="162"/>
      <c r="D23" s="162"/>
      <c r="E23" s="162" t="s">
        <v>323</v>
      </c>
      <c r="F23" s="158"/>
      <c r="G23" s="83"/>
      <c r="H23" s="52"/>
      <c r="I23" s="63"/>
      <c r="J23" s="63" t="s">
        <v>107</v>
      </c>
      <c r="K23" s="83"/>
      <c r="L23" s="2"/>
    </row>
    <row r="24" spans="1:12" x14ac:dyDescent="0.25">
      <c r="A24" s="162"/>
      <c r="B24" s="162"/>
      <c r="C24" s="162"/>
      <c r="D24" s="162"/>
      <c r="E24" s="162" t="s">
        <v>322</v>
      </c>
      <c r="F24" s="158"/>
      <c r="G24" s="83"/>
      <c r="H24" s="52"/>
      <c r="I24" s="63" t="s">
        <v>118</v>
      </c>
      <c r="J24" s="63"/>
      <c r="K24" s="83"/>
      <c r="L24" s="2"/>
    </row>
    <row r="25" spans="1:12" x14ac:dyDescent="0.25">
      <c r="A25" s="162"/>
      <c r="B25" s="162"/>
      <c r="C25" s="162"/>
      <c r="D25" s="162"/>
      <c r="E25" s="162"/>
      <c r="F25" s="158"/>
      <c r="G25" s="83"/>
      <c r="H25" s="52"/>
      <c r="I25" s="63"/>
      <c r="J25" s="63"/>
      <c r="K25" s="83"/>
      <c r="L25" s="2"/>
    </row>
    <row r="26" spans="1:12" x14ac:dyDescent="0.25">
      <c r="A26" s="162"/>
      <c r="B26" s="162"/>
      <c r="C26" s="162"/>
      <c r="D26" s="162"/>
      <c r="E26" s="162"/>
      <c r="F26" s="158"/>
      <c r="G26" s="83"/>
      <c r="H26" s="52"/>
      <c r="I26" s="63" t="s">
        <v>122</v>
      </c>
      <c r="J26" s="63"/>
      <c r="K26" s="83"/>
      <c r="L26" s="2"/>
    </row>
    <row r="27" spans="1:12" x14ac:dyDescent="0.25">
      <c r="A27" s="162"/>
      <c r="B27" s="162"/>
      <c r="C27" s="162"/>
      <c r="D27" s="162"/>
      <c r="E27" s="162"/>
      <c r="F27" s="158"/>
      <c r="G27" s="83"/>
      <c r="H27" s="52"/>
      <c r="I27" s="63" t="s">
        <v>121</v>
      </c>
      <c r="J27" s="63" t="s">
        <v>119</v>
      </c>
      <c r="K27" s="83"/>
      <c r="L27" s="1"/>
    </row>
    <row r="28" spans="1:12" x14ac:dyDescent="0.25">
      <c r="A28" s="162"/>
      <c r="B28" s="162"/>
      <c r="C28" s="162"/>
      <c r="D28" s="162"/>
      <c r="E28" s="163" t="s">
        <v>106</v>
      </c>
      <c r="F28" s="158"/>
      <c r="G28" s="83"/>
      <c r="H28" s="52"/>
      <c r="I28" s="63"/>
      <c r="J28" s="63"/>
      <c r="K28" s="83"/>
    </row>
    <row r="29" spans="1:12" x14ac:dyDescent="0.25">
      <c r="A29" s="81"/>
      <c r="B29" s="81"/>
      <c r="C29" s="81"/>
      <c r="D29" s="81"/>
      <c r="E29" s="82"/>
      <c r="F29" s="81"/>
      <c r="G29" s="83"/>
      <c r="H29" s="52"/>
      <c r="I29" s="63"/>
      <c r="J29" s="63"/>
      <c r="K29" s="83"/>
    </row>
    <row r="30" spans="1:12" x14ac:dyDescent="0.25">
      <c r="E30" s="162" t="s">
        <v>324</v>
      </c>
    </row>
    <row r="31" spans="1:12" x14ac:dyDescent="0.25">
      <c r="E31" s="162" t="s">
        <v>121</v>
      </c>
    </row>
    <row r="32" spans="1:12" x14ac:dyDescent="0.25">
      <c r="E32" s="162"/>
    </row>
    <row r="33" spans="5:5" x14ac:dyDescent="0.25">
      <c r="E33" s="162"/>
    </row>
    <row r="34" spans="5:5" x14ac:dyDescent="0.25">
      <c r="E34" s="162"/>
    </row>
    <row r="35" spans="5:5" x14ac:dyDescent="0.25">
      <c r="E35" s="163" t="s">
        <v>327</v>
      </c>
    </row>
  </sheetData>
  <mergeCells count="23">
    <mergeCell ref="A1:E1"/>
    <mergeCell ref="G4:K4"/>
    <mergeCell ref="G1:K1"/>
    <mergeCell ref="G2:K2"/>
    <mergeCell ref="G3:K3"/>
    <mergeCell ref="A2:E2"/>
    <mergeCell ref="A3:E3"/>
    <mergeCell ref="D13:E13"/>
    <mergeCell ref="B6:C6"/>
    <mergeCell ref="B12:C12"/>
    <mergeCell ref="B11:C11"/>
    <mergeCell ref="B10:C10"/>
    <mergeCell ref="B9:C9"/>
    <mergeCell ref="B8:C8"/>
    <mergeCell ref="B7:C7"/>
    <mergeCell ref="A13:C13"/>
    <mergeCell ref="D6:E6"/>
    <mergeCell ref="D7:E7"/>
    <mergeCell ref="D8:E8"/>
    <mergeCell ref="D9:E9"/>
    <mergeCell ref="D10:E10"/>
    <mergeCell ref="D11:E11"/>
    <mergeCell ref="D12:E12"/>
  </mergeCells>
  <printOptions horizontalCentered="1"/>
  <pageMargins left="0.23622047244094491" right="0.23622047244094491" top="0.74803149606299213" bottom="0.74803149606299213" header="0.31496062992125984" footer="0.31496062992125984"/>
  <pageSetup paperSize="10000" scale="105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6FD4-CDCF-4A4A-A165-B403149F4B7A}">
  <dimension ref="A1:B19"/>
  <sheetViews>
    <sheetView workbookViewId="0">
      <selection activeCell="B14" sqref="B14"/>
    </sheetView>
  </sheetViews>
  <sheetFormatPr defaultRowHeight="15" x14ac:dyDescent="0.25"/>
  <cols>
    <col min="1" max="1" width="40.140625" customWidth="1"/>
    <col min="2" max="2" width="15.28515625" bestFit="1" customWidth="1"/>
  </cols>
  <sheetData>
    <row r="1" spans="1:2" x14ac:dyDescent="0.25">
      <c r="A1" t="s">
        <v>496</v>
      </c>
      <c r="B1" s="296">
        <v>249132336</v>
      </c>
    </row>
    <row r="2" spans="1:2" x14ac:dyDescent="0.25">
      <c r="A2" t="s">
        <v>497</v>
      </c>
      <c r="B2" s="296">
        <v>20000000</v>
      </c>
    </row>
    <row r="3" spans="1:2" x14ac:dyDescent="0.25">
      <c r="A3" t="s">
        <v>498</v>
      </c>
      <c r="B3" s="296">
        <v>15000000</v>
      </c>
    </row>
    <row r="4" spans="1:2" x14ac:dyDescent="0.25">
      <c r="A4" t="s">
        <v>499</v>
      </c>
      <c r="B4" s="296">
        <v>45000000</v>
      </c>
    </row>
    <row r="5" spans="1:2" x14ac:dyDescent="0.25">
      <c r="A5" t="s">
        <v>500</v>
      </c>
      <c r="B5" s="296">
        <v>45000000</v>
      </c>
    </row>
    <row r="6" spans="1:2" x14ac:dyDescent="0.25">
      <c r="A6" t="s">
        <v>501</v>
      </c>
      <c r="B6" s="296">
        <v>5000000</v>
      </c>
    </row>
    <row r="7" spans="1:2" x14ac:dyDescent="0.25">
      <c r="A7" t="s">
        <v>502</v>
      </c>
      <c r="B7" s="296">
        <v>3910000</v>
      </c>
    </row>
    <row r="8" spans="1:2" x14ac:dyDescent="0.25">
      <c r="B8" s="296"/>
    </row>
    <row r="9" spans="1:2" x14ac:dyDescent="0.25">
      <c r="A9" t="s">
        <v>503</v>
      </c>
      <c r="B9" s="296"/>
    </row>
    <row r="10" spans="1:2" x14ac:dyDescent="0.25">
      <c r="A10" t="s">
        <v>504</v>
      </c>
      <c r="B10" s="296">
        <v>5503000</v>
      </c>
    </row>
    <row r="11" spans="1:2" x14ac:dyDescent="0.25">
      <c r="A11" t="s">
        <v>505</v>
      </c>
      <c r="B11" s="296">
        <v>8280000</v>
      </c>
    </row>
    <row r="12" spans="1:2" x14ac:dyDescent="0.25">
      <c r="A12" t="s">
        <v>506</v>
      </c>
      <c r="B12" s="296">
        <v>726000</v>
      </c>
    </row>
    <row r="13" spans="1:2" x14ac:dyDescent="0.25">
      <c r="A13" t="s">
        <v>507</v>
      </c>
      <c r="B13" s="296"/>
    </row>
    <row r="14" spans="1:2" x14ac:dyDescent="0.25">
      <c r="A14" t="s">
        <v>508</v>
      </c>
      <c r="B14" s="296">
        <v>1071000</v>
      </c>
    </row>
    <row r="15" spans="1:2" x14ac:dyDescent="0.25">
      <c r="A15" t="s">
        <v>509</v>
      </c>
      <c r="B15" s="296">
        <v>1310000</v>
      </c>
    </row>
    <row r="16" spans="1:2" x14ac:dyDescent="0.25">
      <c r="A16" t="s">
        <v>510</v>
      </c>
      <c r="B16" s="296"/>
    </row>
    <row r="17" spans="1:2" x14ac:dyDescent="0.25">
      <c r="A17" t="s">
        <v>511</v>
      </c>
      <c r="B17" s="296">
        <v>450000</v>
      </c>
    </row>
    <row r="18" spans="1:2" x14ac:dyDescent="0.25">
      <c r="A18" t="s">
        <v>512</v>
      </c>
      <c r="B18" s="296">
        <v>1500000</v>
      </c>
    </row>
    <row r="19" spans="1:2" x14ac:dyDescent="0.25">
      <c r="B19" s="296">
        <f>SUM(B1:B18)</f>
        <v>401882336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H195"/>
  <sheetViews>
    <sheetView topLeftCell="B1" zoomScale="69" zoomScaleNormal="69" workbookViewId="0">
      <pane xSplit="13" ySplit="13" topLeftCell="BC78" activePane="bottomRight" state="frozen"/>
      <selection activeCell="B1" sqref="B1"/>
      <selection pane="topRight" activeCell="L1" sqref="L1"/>
      <selection pane="bottomLeft" activeCell="B14" sqref="B14"/>
      <selection pane="bottomRight" activeCell="D84" sqref="D84"/>
    </sheetView>
  </sheetViews>
  <sheetFormatPr defaultColWidth="9.140625" defaultRowHeight="12.75" x14ac:dyDescent="0.2"/>
  <cols>
    <col min="1" max="1" width="4" style="106" bestFit="1" customWidth="1"/>
    <col min="2" max="2" width="3.85546875" style="106" customWidth="1"/>
    <col min="3" max="3" width="41.28515625" style="106" customWidth="1"/>
    <col min="4" max="4" width="14" style="106" customWidth="1"/>
    <col min="5" max="5" width="32.28515625" style="106" customWidth="1"/>
    <col min="6" max="6" width="5.5703125" style="106" hidden="1" customWidth="1"/>
    <col min="7" max="7" width="8.140625" style="106" hidden="1" customWidth="1"/>
    <col min="8" max="8" width="5.7109375" style="106" hidden="1" customWidth="1"/>
    <col min="9" max="9" width="34.85546875" style="106" customWidth="1"/>
    <col min="10" max="10" width="14.7109375" style="106" customWidth="1"/>
    <col min="11" max="11" width="15" style="106" customWidth="1"/>
    <col min="12" max="12" width="11.7109375" style="106" customWidth="1"/>
    <col min="13" max="13" width="10" style="106" bestFit="1" customWidth="1"/>
    <col min="14" max="14" width="9.7109375" style="106" bestFit="1" customWidth="1"/>
    <col min="15" max="17" width="9.140625" style="106" bestFit="1" customWidth="1"/>
    <col min="18" max="18" width="10.5703125" style="106" customWidth="1"/>
    <col min="19" max="19" width="8.42578125" style="106" customWidth="1"/>
    <col min="20" max="20" width="10.7109375" style="106" bestFit="1" customWidth="1"/>
    <col min="21" max="21" width="15.5703125" style="106" customWidth="1"/>
    <col min="22" max="22" width="17.28515625" style="106" customWidth="1"/>
    <col min="23" max="23" width="4" style="106" bestFit="1" customWidth="1"/>
    <col min="24" max="24" width="12.42578125" style="106" bestFit="1" customWidth="1"/>
    <col min="25" max="25" width="7.5703125" style="106" bestFit="1" customWidth="1"/>
    <col min="26" max="26" width="7.140625" style="106" bestFit="1" customWidth="1"/>
    <col min="27" max="27" width="9.5703125" style="106" bestFit="1" customWidth="1"/>
    <col min="28" max="28" width="8.140625" style="106" bestFit="1" customWidth="1"/>
    <col min="29" max="29" width="8" style="106" bestFit="1" customWidth="1"/>
    <col min="30" max="30" width="8.140625" style="106" bestFit="1" customWidth="1"/>
    <col min="31" max="31" width="4" style="106" bestFit="1" customWidth="1"/>
    <col min="32" max="32" width="11.5703125" style="106" bestFit="1" customWidth="1"/>
    <col min="33" max="33" width="9" style="106" customWidth="1"/>
    <col min="34" max="34" width="5" style="106" customWidth="1"/>
    <col min="35" max="35" width="9.7109375" style="106" customWidth="1"/>
    <col min="36" max="36" width="11.28515625" style="106" customWidth="1"/>
    <col min="37" max="37" width="5" style="106" customWidth="1"/>
    <col min="38" max="38" width="12" style="106" customWidth="1"/>
    <col min="39" max="39" width="7.7109375" style="106" bestFit="1" customWidth="1"/>
    <col min="40" max="40" width="8.140625" style="106" bestFit="1" customWidth="1"/>
    <col min="41" max="41" width="9.140625" style="106" customWidth="1"/>
    <col min="42" max="43" width="7.7109375" style="106" bestFit="1" customWidth="1"/>
    <col min="44" max="44" width="7.85546875" style="106" bestFit="1" customWidth="1"/>
    <col min="45" max="45" width="9.42578125" style="106" customWidth="1"/>
    <col min="46" max="46" width="15" style="106" customWidth="1"/>
    <col min="47" max="47" width="13.42578125" style="106" hidden="1" customWidth="1"/>
    <col min="48" max="48" width="10.42578125" style="106" hidden="1" customWidth="1"/>
    <col min="49" max="49" width="12" style="106" hidden="1" customWidth="1"/>
    <col min="50" max="50" width="10.5703125" style="106" hidden="1" customWidth="1"/>
    <col min="51" max="51" width="12" style="106" hidden="1" customWidth="1"/>
    <col min="52" max="52" width="10.140625" style="106" hidden="1" customWidth="1"/>
    <col min="53" max="53" width="12.140625" style="106" hidden="1" customWidth="1"/>
    <col min="54" max="54" width="13" style="106" customWidth="1"/>
    <col min="55" max="55" width="15.7109375" style="106" customWidth="1"/>
    <col min="56" max="56" width="10.140625" style="106" customWidth="1"/>
    <col min="57" max="57" width="11.42578125" style="106" customWidth="1"/>
    <col min="58" max="58" width="11.28515625" style="106" customWidth="1"/>
    <col min="59" max="59" width="12.42578125" style="106" customWidth="1"/>
    <col min="60" max="60" width="17" style="106" customWidth="1"/>
    <col min="61" max="16384" width="9.140625" style="106"/>
  </cols>
  <sheetData>
    <row r="2" spans="1:60" x14ac:dyDescent="0.2">
      <c r="C2" s="106">
        <v>1</v>
      </c>
      <c r="D2" s="106">
        <v>2</v>
      </c>
      <c r="E2" s="106">
        <v>3</v>
      </c>
      <c r="F2" s="106">
        <v>4</v>
      </c>
      <c r="G2" s="106">
        <v>5</v>
      </c>
      <c r="H2" s="106">
        <v>6</v>
      </c>
      <c r="I2" s="106">
        <v>7</v>
      </c>
      <c r="J2" s="106">
        <v>8</v>
      </c>
      <c r="K2" s="106">
        <v>9</v>
      </c>
      <c r="L2" s="106">
        <v>10</v>
      </c>
      <c r="M2" s="106">
        <v>11</v>
      </c>
      <c r="N2" s="106">
        <v>12</v>
      </c>
      <c r="O2" s="106">
        <v>13</v>
      </c>
      <c r="P2" s="106">
        <v>14</v>
      </c>
      <c r="Q2" s="106">
        <v>15</v>
      </c>
      <c r="R2" s="106">
        <v>16</v>
      </c>
      <c r="S2" s="106">
        <v>17</v>
      </c>
      <c r="T2" s="106">
        <v>18</v>
      </c>
      <c r="U2" s="106">
        <v>19</v>
      </c>
      <c r="V2" s="106">
        <v>20</v>
      </c>
      <c r="W2" s="106">
        <v>21</v>
      </c>
      <c r="X2" s="106">
        <v>22</v>
      </c>
      <c r="Y2" s="106">
        <v>23</v>
      </c>
      <c r="Z2" s="106">
        <v>24</v>
      </c>
      <c r="AA2" s="106">
        <v>25</v>
      </c>
      <c r="AB2" s="106">
        <v>26</v>
      </c>
      <c r="AC2" s="106">
        <v>27</v>
      </c>
      <c r="AD2" s="106">
        <v>28</v>
      </c>
      <c r="AE2" s="106">
        <v>29</v>
      </c>
      <c r="AF2" s="106">
        <v>30</v>
      </c>
      <c r="AG2" s="106">
        <v>31</v>
      </c>
      <c r="AH2" s="106">
        <v>32</v>
      </c>
      <c r="AI2" s="106">
        <v>33</v>
      </c>
      <c r="AJ2" s="106">
        <v>34</v>
      </c>
      <c r="AK2" s="106">
        <v>35</v>
      </c>
      <c r="AL2" s="106">
        <v>36</v>
      </c>
      <c r="AM2" s="106">
        <v>37</v>
      </c>
      <c r="AN2" s="106">
        <v>38</v>
      </c>
      <c r="AO2" s="106">
        <v>39</v>
      </c>
      <c r="AP2" s="106">
        <v>40</v>
      </c>
      <c r="AQ2" s="106">
        <v>41</v>
      </c>
      <c r="AR2" s="106">
        <v>42</v>
      </c>
      <c r="AS2" s="106">
        <v>43</v>
      </c>
      <c r="AT2" s="106">
        <v>44</v>
      </c>
      <c r="AU2" s="106">
        <v>45</v>
      </c>
      <c r="AV2" s="106">
        <v>46</v>
      </c>
      <c r="AW2" s="106">
        <v>47</v>
      </c>
      <c r="AX2" s="106">
        <v>48</v>
      </c>
      <c r="AY2" s="106">
        <v>49</v>
      </c>
      <c r="AZ2" s="106">
        <v>50</v>
      </c>
      <c r="BA2" s="106">
        <v>51</v>
      </c>
      <c r="BB2" s="106">
        <v>45</v>
      </c>
      <c r="BC2" s="106">
        <v>46</v>
      </c>
      <c r="BD2" s="106">
        <v>47</v>
      </c>
      <c r="BE2" s="106">
        <v>48</v>
      </c>
      <c r="BF2" s="106">
        <v>49</v>
      </c>
      <c r="BG2" s="106">
        <v>50</v>
      </c>
    </row>
    <row r="3" spans="1:60" ht="39" customHeight="1" x14ac:dyDescent="0.2">
      <c r="A3" s="107" t="s">
        <v>0</v>
      </c>
      <c r="B3" s="108" t="s">
        <v>0</v>
      </c>
      <c r="C3" s="108" t="s">
        <v>1</v>
      </c>
      <c r="D3" s="25" t="s">
        <v>2</v>
      </c>
      <c r="E3" s="25" t="s">
        <v>3</v>
      </c>
      <c r="F3" s="26" t="s">
        <v>4</v>
      </c>
      <c r="G3" s="26" t="s">
        <v>5</v>
      </c>
      <c r="H3" s="26" t="s">
        <v>6</v>
      </c>
      <c r="I3" s="26" t="s">
        <v>277</v>
      </c>
      <c r="J3" s="26" t="s">
        <v>278</v>
      </c>
      <c r="K3" s="27" t="s">
        <v>7</v>
      </c>
      <c r="L3" s="25" t="s">
        <v>8</v>
      </c>
      <c r="M3" s="25" t="s">
        <v>103</v>
      </c>
      <c r="N3" s="25" t="s">
        <v>9</v>
      </c>
      <c r="O3" s="25" t="s">
        <v>10</v>
      </c>
      <c r="P3" s="25" t="s">
        <v>11</v>
      </c>
      <c r="Q3" s="25" t="s">
        <v>85</v>
      </c>
      <c r="R3" s="25" t="s">
        <v>112</v>
      </c>
      <c r="S3" s="25" t="s">
        <v>113</v>
      </c>
      <c r="T3" s="25" t="s">
        <v>13</v>
      </c>
      <c r="U3" s="25" t="s">
        <v>114</v>
      </c>
      <c r="V3" s="25" t="s">
        <v>15</v>
      </c>
      <c r="W3" s="25" t="s">
        <v>16</v>
      </c>
      <c r="X3" s="25" t="s">
        <v>17</v>
      </c>
      <c r="Y3" s="25" t="s">
        <v>18</v>
      </c>
      <c r="Z3" s="25" t="s">
        <v>19</v>
      </c>
      <c r="AA3" s="25" t="s">
        <v>20</v>
      </c>
      <c r="AB3" s="25" t="s">
        <v>21</v>
      </c>
      <c r="AC3" s="25" t="s">
        <v>22</v>
      </c>
      <c r="AD3" s="25" t="s">
        <v>23</v>
      </c>
      <c r="AE3" s="25" t="s">
        <v>24</v>
      </c>
      <c r="AF3" s="25" t="s">
        <v>25</v>
      </c>
      <c r="AG3" s="109" t="s">
        <v>26</v>
      </c>
      <c r="AH3" s="109" t="s">
        <v>27</v>
      </c>
      <c r="AI3" s="110" t="s">
        <v>28</v>
      </c>
      <c r="AJ3" s="25" t="s">
        <v>29</v>
      </c>
      <c r="AK3" s="25" t="s">
        <v>134</v>
      </c>
      <c r="AL3" s="111" t="s">
        <v>30</v>
      </c>
      <c r="AM3" s="25" t="s">
        <v>31</v>
      </c>
      <c r="AN3" s="25" t="s">
        <v>32</v>
      </c>
      <c r="AO3" s="25" t="s">
        <v>33</v>
      </c>
      <c r="AP3" s="25" t="s">
        <v>34</v>
      </c>
      <c r="AQ3" s="25" t="s">
        <v>35</v>
      </c>
      <c r="AR3" s="25" t="s">
        <v>36</v>
      </c>
      <c r="AS3" s="25" t="s">
        <v>37</v>
      </c>
      <c r="AT3" s="25" t="s">
        <v>38</v>
      </c>
      <c r="AU3" s="131" t="s">
        <v>301</v>
      </c>
      <c r="AV3" s="131" t="s">
        <v>302</v>
      </c>
      <c r="AW3" s="131" t="s">
        <v>303</v>
      </c>
      <c r="AX3" s="131" t="s">
        <v>304</v>
      </c>
      <c r="AY3" s="131" t="s">
        <v>305</v>
      </c>
      <c r="AZ3" s="131" t="s">
        <v>306</v>
      </c>
      <c r="BA3" s="131" t="s">
        <v>307</v>
      </c>
      <c r="BB3" s="131" t="s">
        <v>301</v>
      </c>
      <c r="BC3" s="131" t="s">
        <v>302</v>
      </c>
      <c r="BD3" s="131" t="s">
        <v>303</v>
      </c>
      <c r="BE3" s="131" t="s">
        <v>304</v>
      </c>
      <c r="BF3" s="131" t="s">
        <v>305</v>
      </c>
      <c r="BG3" s="131" t="s">
        <v>306</v>
      </c>
      <c r="BH3" s="131" t="s">
        <v>307</v>
      </c>
    </row>
    <row r="4" spans="1:60" s="330" customFormat="1" ht="14.1" customHeight="1" x14ac:dyDescent="0.2">
      <c r="A4" s="317">
        <v>1</v>
      </c>
      <c r="B4" s="318">
        <v>1</v>
      </c>
      <c r="C4" s="319" t="s">
        <v>105</v>
      </c>
      <c r="D4" s="320" t="s">
        <v>148</v>
      </c>
      <c r="E4" s="321" t="s">
        <v>142</v>
      </c>
      <c r="F4" s="321"/>
      <c r="G4" s="321"/>
      <c r="H4" s="321"/>
      <c r="I4" s="322" t="s">
        <v>279</v>
      </c>
      <c r="J4" s="321" t="s">
        <v>456</v>
      </c>
      <c r="K4" s="323">
        <f>SUM(1280000*100%)</f>
        <v>1280000</v>
      </c>
      <c r="L4" s="324">
        <v>500000</v>
      </c>
      <c r="M4" s="325">
        <v>150000</v>
      </c>
      <c r="N4" s="325">
        <f>K4*5/100</f>
        <v>64000</v>
      </c>
      <c r="O4" s="325">
        <f>K4*2/100</f>
        <v>25600</v>
      </c>
      <c r="P4" s="325">
        <f>6500*5</f>
        <v>32500</v>
      </c>
      <c r="Q4" s="325"/>
      <c r="R4" s="325">
        <v>3700</v>
      </c>
      <c r="S4" s="321">
        <v>22</v>
      </c>
      <c r="T4" s="326">
        <f>R4*S4</f>
        <v>81400</v>
      </c>
      <c r="U4" s="326"/>
      <c r="V4" s="327">
        <f t="shared" ref="V4:V66" si="0">K4+L4+M4+N4+O4+P4+Q4+T4+U4</f>
        <v>2133500</v>
      </c>
      <c r="W4" s="321"/>
      <c r="X4" s="321"/>
      <c r="Y4" s="321"/>
      <c r="Z4" s="321"/>
      <c r="AA4" s="321">
        <f>Y4*Z4</f>
        <v>0</v>
      </c>
      <c r="AB4" s="321"/>
      <c r="AC4" s="321"/>
      <c r="AD4" s="321">
        <f>AB4*AC4</f>
        <v>0</v>
      </c>
      <c r="AE4" s="327"/>
      <c r="AF4" s="327">
        <f>X4+AA4+AD4+AE4</f>
        <v>0</v>
      </c>
      <c r="AG4" s="325">
        <f>R4</f>
        <v>3700</v>
      </c>
      <c r="AH4" s="321"/>
      <c r="AI4" s="326">
        <f>AG4*AH4</f>
        <v>0</v>
      </c>
      <c r="AJ4" s="327">
        <f>K4/22</f>
        <v>58181.818181818184</v>
      </c>
      <c r="AK4" s="321"/>
      <c r="AL4" s="321">
        <f>AJ4*AK4</f>
        <v>0</v>
      </c>
      <c r="AM4" s="321"/>
      <c r="AN4" s="321"/>
      <c r="AO4" s="321">
        <f>AM4*AN4</f>
        <v>0</v>
      </c>
      <c r="AP4" s="321"/>
      <c r="AQ4" s="321"/>
      <c r="AR4" s="321">
        <f>AP4*AQ4</f>
        <v>0</v>
      </c>
      <c r="AS4" s="326">
        <f>AI4+AL4+AO4+AR4</f>
        <v>0</v>
      </c>
      <c r="AT4" s="327">
        <f>V4+AF4-AS4</f>
        <v>2133500</v>
      </c>
      <c r="AU4" s="323">
        <v>200000</v>
      </c>
      <c r="AV4" s="325">
        <v>1335000</v>
      </c>
      <c r="AW4" s="328">
        <v>15000</v>
      </c>
      <c r="AX4" s="325">
        <v>68178</v>
      </c>
      <c r="AY4" s="321"/>
      <c r="AZ4" s="325"/>
      <c r="BA4" s="329">
        <f>AT4-AU4-AV4-AW4-AX4-AY4-AZ4</f>
        <v>515322</v>
      </c>
      <c r="BB4" s="323">
        <v>200000</v>
      </c>
      <c r="BC4" s="325"/>
      <c r="BD4" s="328">
        <v>15000</v>
      </c>
      <c r="BE4" s="325">
        <v>68178</v>
      </c>
      <c r="BF4" s="321">
        <v>100000</v>
      </c>
      <c r="BG4" s="325"/>
      <c r="BH4" s="329">
        <f>AT4-BB4-BC4-BD4-BE4-BF4-BG4</f>
        <v>1750322</v>
      </c>
    </row>
    <row r="5" spans="1:60" s="330" customFormat="1" ht="16.5" customHeight="1" x14ac:dyDescent="0.25">
      <c r="A5" s="317">
        <v>2</v>
      </c>
      <c r="B5" s="318">
        <v>2</v>
      </c>
      <c r="C5" s="319" t="s">
        <v>106</v>
      </c>
      <c r="D5" s="331" t="s">
        <v>165</v>
      </c>
      <c r="E5" s="321" t="s">
        <v>135</v>
      </c>
      <c r="F5" s="321"/>
      <c r="G5" s="321"/>
      <c r="H5" s="321"/>
      <c r="I5" s="332">
        <v>42212</v>
      </c>
      <c r="J5" s="321" t="s">
        <v>297</v>
      </c>
      <c r="K5" s="323">
        <f>SUM(1730000*100%)</f>
        <v>1730000</v>
      </c>
      <c r="L5" s="324">
        <v>500000</v>
      </c>
      <c r="M5" s="325">
        <v>100000</v>
      </c>
      <c r="N5" s="325">
        <f>ALL!O119</f>
        <v>0</v>
      </c>
      <c r="O5" s="325"/>
      <c r="P5" s="325">
        <f>6500*5</f>
        <v>32500</v>
      </c>
      <c r="Q5" s="325"/>
      <c r="R5" s="325">
        <v>7300</v>
      </c>
      <c r="S5" s="321">
        <v>22</v>
      </c>
      <c r="T5" s="326">
        <f t="shared" ref="T5:T22" si="1">R5*S5</f>
        <v>160600</v>
      </c>
      <c r="U5" s="326"/>
      <c r="V5" s="327">
        <f t="shared" si="0"/>
        <v>2523100</v>
      </c>
      <c r="W5" s="321"/>
      <c r="X5" s="321"/>
      <c r="Y5" s="321"/>
      <c r="Z5" s="321"/>
      <c r="AA5" s="321">
        <f t="shared" ref="AA5:AA67" si="2">Y5*Z5</f>
        <v>0</v>
      </c>
      <c r="AB5" s="321"/>
      <c r="AC5" s="321"/>
      <c r="AD5" s="321">
        <f t="shared" ref="AD5:AD67" si="3">AB5*AC5</f>
        <v>0</v>
      </c>
      <c r="AE5" s="327"/>
      <c r="AF5" s="327">
        <f t="shared" ref="AF5:AF67" si="4">X5+AA5+AD5+AE5</f>
        <v>0</v>
      </c>
      <c r="AG5" s="325">
        <f t="shared" ref="AG5:AG67" si="5">R5</f>
        <v>7300</v>
      </c>
      <c r="AH5" s="321"/>
      <c r="AI5" s="326">
        <f t="shared" ref="AI5:AI67" si="6">AG5*AH5</f>
        <v>0</v>
      </c>
      <c r="AJ5" s="327">
        <f>K5/22</f>
        <v>78636.363636363632</v>
      </c>
      <c r="AK5" s="321"/>
      <c r="AL5" s="321">
        <f t="shared" ref="AL5:AL67" si="7">AJ5*AK5</f>
        <v>0</v>
      </c>
      <c r="AM5" s="321"/>
      <c r="AN5" s="321"/>
      <c r="AO5" s="321">
        <f t="shared" ref="AO5:AO67" si="8">AM5*AN5</f>
        <v>0</v>
      </c>
      <c r="AP5" s="321"/>
      <c r="AQ5" s="321"/>
      <c r="AR5" s="321">
        <f t="shared" ref="AR5:AR67" si="9">AP5*AQ5</f>
        <v>0</v>
      </c>
      <c r="AS5" s="326">
        <f t="shared" ref="AS5:AS67" si="10">AI5+AL5+AO5+AR5</f>
        <v>0</v>
      </c>
      <c r="AT5" s="327">
        <f t="shared" ref="AT5:AT67" si="11">V5+AF5-AS5</f>
        <v>2523100</v>
      </c>
      <c r="AU5" s="323">
        <v>100000</v>
      </c>
      <c r="AV5" s="325"/>
      <c r="AW5" s="328">
        <v>15000</v>
      </c>
      <c r="AX5" s="325">
        <f>68178+22726*2</f>
        <v>113630</v>
      </c>
      <c r="AY5" s="323">
        <v>200000</v>
      </c>
      <c r="AZ5" s="325"/>
      <c r="BA5" s="329">
        <f t="shared" ref="BA5:BA67" si="12">AT5-AU5-AV5-AW5-AX5-AY5-AZ5</f>
        <v>2094470</v>
      </c>
      <c r="BB5" s="323">
        <v>100000</v>
      </c>
      <c r="BC5" s="325"/>
      <c r="BD5" s="328">
        <v>15000</v>
      </c>
      <c r="BE5" s="325">
        <f>68178+22726*2</f>
        <v>113630</v>
      </c>
      <c r="BF5" s="323">
        <v>200000</v>
      </c>
      <c r="BG5" s="325"/>
      <c r="BH5" s="329">
        <f t="shared" ref="BH5:BH67" si="13">AT5-BB5-BC5-BD5-BE5-BF5-BG5</f>
        <v>2094470</v>
      </c>
    </row>
    <row r="6" spans="1:60" s="330" customFormat="1" ht="15.75" customHeight="1" x14ac:dyDescent="0.25">
      <c r="A6" s="317">
        <v>3</v>
      </c>
      <c r="B6" s="318">
        <v>3</v>
      </c>
      <c r="C6" s="333" t="s">
        <v>107</v>
      </c>
      <c r="D6" s="331" t="s">
        <v>170</v>
      </c>
      <c r="E6" s="321" t="s">
        <v>136</v>
      </c>
      <c r="F6" s="321"/>
      <c r="G6" s="321"/>
      <c r="H6" s="321"/>
      <c r="I6" s="332">
        <v>42569</v>
      </c>
      <c r="J6" s="321" t="s">
        <v>300</v>
      </c>
      <c r="K6" s="323">
        <f>SUM(1730000*100%)</f>
        <v>1730000</v>
      </c>
      <c r="L6" s="324">
        <v>300000</v>
      </c>
      <c r="M6" s="325">
        <v>100000</v>
      </c>
      <c r="N6" s="325">
        <f>K6*5/100</f>
        <v>86500</v>
      </c>
      <c r="O6" s="325">
        <f>K6*2/100</f>
        <v>34600</v>
      </c>
      <c r="P6" s="325">
        <f>6500*5</f>
        <v>32500</v>
      </c>
      <c r="Q6" s="325"/>
      <c r="R6" s="325">
        <v>3700</v>
      </c>
      <c r="S6" s="321">
        <v>22</v>
      </c>
      <c r="T6" s="326">
        <f t="shared" si="1"/>
        <v>81400</v>
      </c>
      <c r="U6" s="326"/>
      <c r="V6" s="327">
        <f t="shared" si="0"/>
        <v>2365000</v>
      </c>
      <c r="W6" s="321"/>
      <c r="X6" s="321"/>
      <c r="Y6" s="321"/>
      <c r="Z6" s="321"/>
      <c r="AA6" s="321">
        <f t="shared" si="2"/>
        <v>0</v>
      </c>
      <c r="AB6" s="321"/>
      <c r="AC6" s="321"/>
      <c r="AD6" s="321">
        <f t="shared" si="3"/>
        <v>0</v>
      </c>
      <c r="AE6" s="327"/>
      <c r="AF6" s="327">
        <f t="shared" si="4"/>
        <v>0</v>
      </c>
      <c r="AG6" s="325">
        <f t="shared" si="5"/>
        <v>3700</v>
      </c>
      <c r="AH6" s="321"/>
      <c r="AI6" s="326">
        <f t="shared" si="6"/>
        <v>0</v>
      </c>
      <c r="AJ6" s="327">
        <f>K6/22</f>
        <v>78636.363636363632</v>
      </c>
      <c r="AK6" s="321"/>
      <c r="AL6" s="321">
        <f t="shared" si="7"/>
        <v>0</v>
      </c>
      <c r="AM6" s="321"/>
      <c r="AN6" s="321"/>
      <c r="AO6" s="321">
        <f t="shared" si="8"/>
        <v>0</v>
      </c>
      <c r="AP6" s="321"/>
      <c r="AQ6" s="321"/>
      <c r="AR6" s="321">
        <f t="shared" si="9"/>
        <v>0</v>
      </c>
      <c r="AS6" s="326">
        <f t="shared" si="10"/>
        <v>0</v>
      </c>
      <c r="AT6" s="327">
        <f t="shared" si="11"/>
        <v>2365000</v>
      </c>
      <c r="AU6" s="323">
        <v>200000</v>
      </c>
      <c r="AV6" s="325">
        <v>996500</v>
      </c>
      <c r="AW6" s="328">
        <v>15000</v>
      </c>
      <c r="AX6" s="325">
        <f>22726+68178</f>
        <v>90904</v>
      </c>
      <c r="AY6" s="323">
        <v>200000</v>
      </c>
      <c r="AZ6" s="325"/>
      <c r="BA6" s="329">
        <f t="shared" si="12"/>
        <v>862596</v>
      </c>
      <c r="BB6" s="323">
        <v>300000</v>
      </c>
      <c r="BC6" s="325">
        <v>996500</v>
      </c>
      <c r="BD6" s="328">
        <v>15000</v>
      </c>
      <c r="BE6" s="325">
        <f>24509+68178</f>
        <v>92687</v>
      </c>
      <c r="BF6" s="323">
        <v>200000</v>
      </c>
      <c r="BG6" s="325"/>
      <c r="BH6" s="329">
        <f t="shared" si="13"/>
        <v>760813</v>
      </c>
    </row>
    <row r="7" spans="1:60" s="330" customFormat="1" ht="12.75" customHeight="1" x14ac:dyDescent="0.25">
      <c r="A7" s="317">
        <v>4</v>
      </c>
      <c r="B7" s="318">
        <v>4</v>
      </c>
      <c r="C7" s="333" t="s">
        <v>108</v>
      </c>
      <c r="D7" s="331" t="s">
        <v>172</v>
      </c>
      <c r="E7" s="321" t="s">
        <v>137</v>
      </c>
      <c r="F7" s="321"/>
      <c r="G7" s="321"/>
      <c r="H7" s="321"/>
      <c r="I7" s="332">
        <v>42795</v>
      </c>
      <c r="J7" s="321" t="s">
        <v>290</v>
      </c>
      <c r="K7" s="323">
        <f>SUM(1280000*100%)</f>
        <v>1280000</v>
      </c>
      <c r="L7" s="324"/>
      <c r="M7" s="325">
        <v>50000</v>
      </c>
      <c r="N7" s="325">
        <f>K7*5/100</f>
        <v>64000</v>
      </c>
      <c r="O7" s="325">
        <f>K7*2/100</f>
        <v>25600</v>
      </c>
      <c r="P7" s="325">
        <f t="shared" ref="P7:P15" si="14">6500*5</f>
        <v>32500</v>
      </c>
      <c r="Q7" s="325"/>
      <c r="R7" s="321">
        <v>7300</v>
      </c>
      <c r="S7" s="321">
        <v>22</v>
      </c>
      <c r="T7" s="326">
        <f t="shared" si="1"/>
        <v>160600</v>
      </c>
      <c r="U7" s="326"/>
      <c r="V7" s="327">
        <f t="shared" si="0"/>
        <v>1612700</v>
      </c>
      <c r="W7" s="321"/>
      <c r="X7" s="321"/>
      <c r="Y7" s="321"/>
      <c r="Z7" s="321"/>
      <c r="AA7" s="321">
        <f t="shared" si="2"/>
        <v>0</v>
      </c>
      <c r="AB7" s="321"/>
      <c r="AC7" s="321"/>
      <c r="AD7" s="321">
        <f t="shared" si="3"/>
        <v>0</v>
      </c>
      <c r="AE7" s="327"/>
      <c r="AF7" s="327">
        <f t="shared" si="4"/>
        <v>0</v>
      </c>
      <c r="AG7" s="325">
        <f t="shared" si="5"/>
        <v>7300</v>
      </c>
      <c r="AH7" s="321"/>
      <c r="AI7" s="326">
        <f t="shared" si="6"/>
        <v>0</v>
      </c>
      <c r="AJ7" s="327">
        <f>K7/22</f>
        <v>58181.818181818184</v>
      </c>
      <c r="AK7" s="321"/>
      <c r="AL7" s="321">
        <f t="shared" si="7"/>
        <v>0</v>
      </c>
      <c r="AM7" s="321"/>
      <c r="AN7" s="321"/>
      <c r="AO7" s="321">
        <f t="shared" si="8"/>
        <v>0</v>
      </c>
      <c r="AP7" s="321"/>
      <c r="AQ7" s="321"/>
      <c r="AR7" s="321">
        <f t="shared" si="9"/>
        <v>0</v>
      </c>
      <c r="AS7" s="326">
        <f t="shared" si="10"/>
        <v>0</v>
      </c>
      <c r="AT7" s="327">
        <f t="shared" si="11"/>
        <v>1612700</v>
      </c>
      <c r="AU7" s="321"/>
      <c r="AV7" s="325"/>
      <c r="AW7" s="328">
        <v>15000</v>
      </c>
      <c r="AX7" s="325"/>
      <c r="AY7" s="321">
        <v>100000</v>
      </c>
      <c r="AZ7" s="325"/>
      <c r="BA7" s="329">
        <f t="shared" si="12"/>
        <v>1497700</v>
      </c>
      <c r="BB7" s="321"/>
      <c r="BC7" s="325"/>
      <c r="BD7" s="328">
        <v>15000</v>
      </c>
      <c r="BE7" s="325"/>
      <c r="BF7" s="321">
        <v>100000</v>
      </c>
      <c r="BG7" s="325"/>
      <c r="BH7" s="329">
        <f t="shared" si="13"/>
        <v>1497700</v>
      </c>
    </row>
    <row r="8" spans="1:60" s="330" customFormat="1" ht="15" customHeight="1" x14ac:dyDescent="0.25">
      <c r="A8" s="317">
        <v>5</v>
      </c>
      <c r="B8" s="318">
        <v>5</v>
      </c>
      <c r="C8" s="333" t="s">
        <v>109</v>
      </c>
      <c r="D8" s="334" t="s">
        <v>175</v>
      </c>
      <c r="E8" s="321" t="s">
        <v>138</v>
      </c>
      <c r="F8" s="321"/>
      <c r="G8" s="321"/>
      <c r="H8" s="321"/>
      <c r="I8" s="332">
        <v>43295</v>
      </c>
      <c r="J8" s="321" t="s">
        <v>291</v>
      </c>
      <c r="K8" s="323">
        <f>SUM(1730000*100%)</f>
        <v>1730000</v>
      </c>
      <c r="L8" s="324">
        <v>700000</v>
      </c>
      <c r="M8" s="325">
        <v>50000</v>
      </c>
      <c r="N8" s="325">
        <f t="shared" ref="N8:N11" si="15">K8*5/100</f>
        <v>86500</v>
      </c>
      <c r="O8" s="325">
        <f t="shared" ref="O8:O10" si="16">K8*2/100</f>
        <v>34600</v>
      </c>
      <c r="P8" s="325">
        <f t="shared" si="14"/>
        <v>32500</v>
      </c>
      <c r="Q8" s="325"/>
      <c r="R8" s="325">
        <v>13000</v>
      </c>
      <c r="S8" s="321">
        <v>22</v>
      </c>
      <c r="T8" s="326">
        <f t="shared" si="1"/>
        <v>286000</v>
      </c>
      <c r="U8" s="326">
        <f>8*4*12500</f>
        <v>400000</v>
      </c>
      <c r="V8" s="327">
        <f t="shared" si="0"/>
        <v>3319600</v>
      </c>
      <c r="W8" s="321"/>
      <c r="X8" s="321"/>
      <c r="Y8" s="321"/>
      <c r="Z8" s="321"/>
      <c r="AA8" s="321">
        <f t="shared" si="2"/>
        <v>0</v>
      </c>
      <c r="AB8" s="321"/>
      <c r="AC8" s="321"/>
      <c r="AD8" s="321">
        <f t="shared" si="3"/>
        <v>0</v>
      </c>
      <c r="AE8" s="327"/>
      <c r="AF8" s="327">
        <f t="shared" si="4"/>
        <v>0</v>
      </c>
      <c r="AG8" s="325">
        <f t="shared" si="5"/>
        <v>13000</v>
      </c>
      <c r="AH8" s="321"/>
      <c r="AI8" s="326">
        <f t="shared" si="6"/>
        <v>0</v>
      </c>
      <c r="AJ8" s="327">
        <f t="shared" ref="AJ8:AJ15" si="17">K8/22</f>
        <v>78636.363636363632</v>
      </c>
      <c r="AK8" s="321"/>
      <c r="AL8" s="321">
        <f t="shared" si="7"/>
        <v>0</v>
      </c>
      <c r="AM8" s="321"/>
      <c r="AN8" s="321"/>
      <c r="AO8" s="321">
        <f t="shared" si="8"/>
        <v>0</v>
      </c>
      <c r="AP8" s="321"/>
      <c r="AQ8" s="321"/>
      <c r="AR8" s="321">
        <f t="shared" si="9"/>
        <v>0</v>
      </c>
      <c r="AS8" s="326">
        <f t="shared" si="10"/>
        <v>0</v>
      </c>
      <c r="AT8" s="327">
        <f t="shared" si="11"/>
        <v>3319600</v>
      </c>
      <c r="AU8" s="321"/>
      <c r="AV8" s="325"/>
      <c r="AW8" s="328">
        <v>15000</v>
      </c>
      <c r="AX8" s="325"/>
      <c r="AZ8" s="325"/>
      <c r="BA8" s="329">
        <f t="shared" si="12"/>
        <v>3304600</v>
      </c>
      <c r="BB8" s="321"/>
      <c r="BC8" s="325"/>
      <c r="BD8" s="328">
        <v>15000</v>
      </c>
      <c r="BE8" s="325"/>
      <c r="BF8" s="330">
        <v>200000</v>
      </c>
      <c r="BG8" s="325"/>
      <c r="BH8" s="329">
        <f t="shared" si="13"/>
        <v>3104600</v>
      </c>
    </row>
    <row r="9" spans="1:60" s="330" customFormat="1" ht="14.25" customHeight="1" x14ac:dyDescent="0.25">
      <c r="A9" s="317">
        <v>6</v>
      </c>
      <c r="B9" s="318">
        <v>6</v>
      </c>
      <c r="C9" s="333" t="s">
        <v>110</v>
      </c>
      <c r="D9" s="335" t="s">
        <v>179</v>
      </c>
      <c r="E9" s="321" t="s">
        <v>138</v>
      </c>
      <c r="F9" s="321"/>
      <c r="G9" s="321"/>
      <c r="H9" s="321"/>
      <c r="I9" s="336">
        <v>43556</v>
      </c>
      <c r="J9" s="321" t="s">
        <v>292</v>
      </c>
      <c r="K9" s="323">
        <f>SUM(1730000*100%)</f>
        <v>1730000</v>
      </c>
      <c r="L9" s="324">
        <v>300000</v>
      </c>
      <c r="M9" s="325">
        <v>50000</v>
      </c>
      <c r="N9" s="325"/>
      <c r="O9" s="325"/>
      <c r="P9" s="325">
        <f t="shared" si="14"/>
        <v>32500</v>
      </c>
      <c r="Q9" s="325"/>
      <c r="R9" s="325">
        <v>13000</v>
      </c>
      <c r="S9" s="321">
        <v>22</v>
      </c>
      <c r="T9" s="326">
        <f t="shared" si="1"/>
        <v>286000</v>
      </c>
      <c r="U9" s="326"/>
      <c r="V9" s="327">
        <f t="shared" si="0"/>
        <v>2398500</v>
      </c>
      <c r="W9" s="321"/>
      <c r="X9" s="321"/>
      <c r="Y9" s="321"/>
      <c r="Z9" s="321"/>
      <c r="AA9" s="321">
        <f t="shared" si="2"/>
        <v>0</v>
      </c>
      <c r="AB9" s="321"/>
      <c r="AC9" s="321"/>
      <c r="AD9" s="321">
        <f t="shared" si="3"/>
        <v>0</v>
      </c>
      <c r="AE9" s="327"/>
      <c r="AF9" s="327">
        <f t="shared" si="4"/>
        <v>0</v>
      </c>
      <c r="AG9" s="325">
        <f t="shared" si="5"/>
        <v>13000</v>
      </c>
      <c r="AH9" s="321"/>
      <c r="AI9" s="326">
        <f t="shared" si="6"/>
        <v>0</v>
      </c>
      <c r="AJ9" s="327">
        <f t="shared" si="17"/>
        <v>78636.363636363632</v>
      </c>
      <c r="AK9" s="321"/>
      <c r="AL9" s="321">
        <f t="shared" si="7"/>
        <v>0</v>
      </c>
      <c r="AM9" s="321"/>
      <c r="AN9" s="321"/>
      <c r="AO9" s="321">
        <f t="shared" si="8"/>
        <v>0</v>
      </c>
      <c r="AP9" s="321"/>
      <c r="AQ9" s="321"/>
      <c r="AR9" s="321">
        <f t="shared" si="9"/>
        <v>0</v>
      </c>
      <c r="AS9" s="326">
        <f t="shared" si="10"/>
        <v>0</v>
      </c>
      <c r="AT9" s="327">
        <f t="shared" si="11"/>
        <v>2398500</v>
      </c>
      <c r="AU9" s="321"/>
      <c r="AV9" s="325"/>
      <c r="AW9" s="328">
        <v>15000</v>
      </c>
      <c r="AX9" s="325"/>
      <c r="AY9" s="323">
        <v>100000</v>
      </c>
      <c r="AZ9" s="325"/>
      <c r="BA9" s="329">
        <f t="shared" si="12"/>
        <v>2283500</v>
      </c>
      <c r="BB9" s="321"/>
      <c r="BC9" s="325"/>
      <c r="BD9" s="328">
        <v>15000</v>
      </c>
      <c r="BE9" s="325"/>
      <c r="BF9" s="323"/>
      <c r="BG9" s="325"/>
      <c r="BH9" s="329">
        <f t="shared" si="13"/>
        <v>2383500</v>
      </c>
    </row>
    <row r="10" spans="1:60" s="330" customFormat="1" ht="15" x14ac:dyDescent="0.25">
      <c r="A10" s="317">
        <v>7</v>
      </c>
      <c r="B10" s="318">
        <v>7</v>
      </c>
      <c r="C10" s="333" t="s">
        <v>111</v>
      </c>
      <c r="D10" s="335" t="s">
        <v>180</v>
      </c>
      <c r="E10" s="321" t="s">
        <v>138</v>
      </c>
      <c r="F10" s="321"/>
      <c r="G10" s="321"/>
      <c r="H10" s="321"/>
      <c r="I10" s="336" t="s">
        <v>281</v>
      </c>
      <c r="J10" s="321" t="s">
        <v>292</v>
      </c>
      <c r="K10" s="323">
        <f>SUM(1830000*100%)</f>
        <v>1830000</v>
      </c>
      <c r="L10" s="324">
        <v>500000</v>
      </c>
      <c r="M10" s="325">
        <v>50000</v>
      </c>
      <c r="N10" s="325">
        <f t="shared" si="15"/>
        <v>91500</v>
      </c>
      <c r="O10" s="325">
        <f t="shared" si="16"/>
        <v>36600</v>
      </c>
      <c r="P10" s="325">
        <f t="shared" si="14"/>
        <v>32500</v>
      </c>
      <c r="Q10" s="325"/>
      <c r="R10" s="325">
        <v>9100</v>
      </c>
      <c r="S10" s="321">
        <v>22</v>
      </c>
      <c r="T10" s="326">
        <f t="shared" si="1"/>
        <v>200200</v>
      </c>
      <c r="U10" s="326"/>
      <c r="V10" s="327">
        <f t="shared" si="0"/>
        <v>2740800</v>
      </c>
      <c r="W10" s="321"/>
      <c r="X10" s="321"/>
      <c r="Y10" s="321"/>
      <c r="Z10" s="321"/>
      <c r="AA10" s="321">
        <f t="shared" si="2"/>
        <v>0</v>
      </c>
      <c r="AB10" s="321"/>
      <c r="AC10" s="321"/>
      <c r="AD10" s="321">
        <f t="shared" si="3"/>
        <v>0</v>
      </c>
      <c r="AE10" s="327"/>
      <c r="AF10" s="327">
        <f t="shared" si="4"/>
        <v>0</v>
      </c>
      <c r="AG10" s="325">
        <f t="shared" si="5"/>
        <v>9100</v>
      </c>
      <c r="AH10" s="321"/>
      <c r="AI10" s="326">
        <f t="shared" si="6"/>
        <v>0</v>
      </c>
      <c r="AJ10" s="327">
        <f t="shared" si="17"/>
        <v>83181.818181818177</v>
      </c>
      <c r="AK10" s="321"/>
      <c r="AL10" s="321">
        <f t="shared" si="7"/>
        <v>0</v>
      </c>
      <c r="AM10" s="321"/>
      <c r="AN10" s="321"/>
      <c r="AO10" s="321">
        <f t="shared" si="8"/>
        <v>0</v>
      </c>
      <c r="AP10" s="321"/>
      <c r="AQ10" s="321"/>
      <c r="AR10" s="321">
        <f t="shared" si="9"/>
        <v>0</v>
      </c>
      <c r="AS10" s="326">
        <f t="shared" si="10"/>
        <v>0</v>
      </c>
      <c r="AT10" s="327">
        <f t="shared" si="11"/>
        <v>2740800</v>
      </c>
      <c r="AU10" s="321">
        <v>100000</v>
      </c>
      <c r="AV10" s="325"/>
      <c r="AW10" s="328">
        <v>15000</v>
      </c>
      <c r="AX10" s="325"/>
      <c r="AY10" s="323">
        <v>100000</v>
      </c>
      <c r="AZ10" s="325"/>
      <c r="BA10" s="329">
        <f t="shared" si="12"/>
        <v>2525800</v>
      </c>
      <c r="BB10" s="321">
        <v>100000</v>
      </c>
      <c r="BC10" s="325"/>
      <c r="BD10" s="328">
        <v>15000</v>
      </c>
      <c r="BE10" s="325"/>
      <c r="BF10" s="323">
        <v>200000</v>
      </c>
      <c r="BG10" s="325"/>
      <c r="BH10" s="329">
        <f t="shared" si="13"/>
        <v>2425800</v>
      </c>
    </row>
    <row r="11" spans="1:60" s="374" customFormat="1" ht="15" x14ac:dyDescent="0.25">
      <c r="A11" s="365">
        <v>8</v>
      </c>
      <c r="B11" s="366">
        <v>8</v>
      </c>
      <c r="C11" s="367" t="s">
        <v>39</v>
      </c>
      <c r="D11" s="368" t="s">
        <v>151</v>
      </c>
      <c r="E11" s="367" t="s">
        <v>56</v>
      </c>
      <c r="F11" s="367"/>
      <c r="G11" s="367"/>
      <c r="H11" s="367"/>
      <c r="I11" s="300">
        <v>40735</v>
      </c>
      <c r="J11" s="367" t="s">
        <v>369</v>
      </c>
      <c r="K11" s="369">
        <f t="shared" ref="K11" si="18">SUM(1730000*100%)</f>
        <v>1730000</v>
      </c>
      <c r="L11" s="369">
        <v>1250000</v>
      </c>
      <c r="M11" s="369">
        <v>150000</v>
      </c>
      <c r="N11" s="369">
        <f t="shared" si="15"/>
        <v>86500</v>
      </c>
      <c r="O11" s="369">
        <f>K11*2/100*2</f>
        <v>69200</v>
      </c>
      <c r="P11" s="369">
        <f t="shared" si="14"/>
        <v>32500</v>
      </c>
      <c r="Q11" s="370"/>
      <c r="R11" s="371">
        <v>13000</v>
      </c>
      <c r="S11" s="367">
        <v>22</v>
      </c>
      <c r="T11" s="372">
        <f t="shared" si="1"/>
        <v>286000</v>
      </c>
      <c r="U11" s="369"/>
      <c r="V11" s="303">
        <f t="shared" si="0"/>
        <v>3604200</v>
      </c>
      <c r="W11" s="367"/>
      <c r="X11" s="367"/>
      <c r="Y11" s="367"/>
      <c r="Z11" s="367"/>
      <c r="AA11" s="304">
        <f t="shared" si="2"/>
        <v>0</v>
      </c>
      <c r="AB11" s="367"/>
      <c r="AC11" s="367"/>
      <c r="AD11" s="304">
        <f t="shared" si="3"/>
        <v>0</v>
      </c>
      <c r="AE11" s="367"/>
      <c r="AF11" s="303">
        <f t="shared" si="4"/>
        <v>0</v>
      </c>
      <c r="AG11" s="305">
        <f t="shared" si="5"/>
        <v>13000</v>
      </c>
      <c r="AH11" s="367"/>
      <c r="AI11" s="306">
        <f t="shared" si="6"/>
        <v>0</v>
      </c>
      <c r="AJ11" s="373">
        <f t="shared" si="17"/>
        <v>78636.363636363632</v>
      </c>
      <c r="AK11" s="367"/>
      <c r="AL11" s="304">
        <f t="shared" si="7"/>
        <v>0</v>
      </c>
      <c r="AM11" s="367"/>
      <c r="AN11" s="367"/>
      <c r="AO11" s="304">
        <f t="shared" si="8"/>
        <v>0</v>
      </c>
      <c r="AP11" s="367"/>
      <c r="AQ11" s="367"/>
      <c r="AR11" s="304">
        <f t="shared" si="9"/>
        <v>0</v>
      </c>
      <c r="AS11" s="306">
        <f t="shared" si="10"/>
        <v>0</v>
      </c>
      <c r="AT11" s="303">
        <f t="shared" si="11"/>
        <v>3604200</v>
      </c>
      <c r="AU11" s="308">
        <v>100000</v>
      </c>
      <c r="AV11" s="305">
        <v>1365500</v>
      </c>
      <c r="AW11" s="309">
        <v>15000</v>
      </c>
      <c r="AX11" s="305">
        <f>68178+22726</f>
        <v>90904</v>
      </c>
      <c r="AY11" s="308">
        <v>100000</v>
      </c>
      <c r="AZ11" s="305"/>
      <c r="BA11" s="310">
        <f t="shared" si="12"/>
        <v>1932796</v>
      </c>
      <c r="BB11" s="308">
        <v>100000</v>
      </c>
      <c r="BC11" s="305">
        <v>1335000</v>
      </c>
      <c r="BD11" s="309">
        <v>15000</v>
      </c>
      <c r="BE11" s="305">
        <f>68178+24509</f>
        <v>92687</v>
      </c>
      <c r="BF11" s="308">
        <v>100000</v>
      </c>
      <c r="BG11" s="305"/>
      <c r="BH11" s="310">
        <f t="shared" si="13"/>
        <v>1961513</v>
      </c>
    </row>
    <row r="12" spans="1:60" s="374" customFormat="1" ht="14.1" customHeight="1" x14ac:dyDescent="0.25">
      <c r="A12" s="365">
        <v>9</v>
      </c>
      <c r="B12" s="366">
        <v>9</v>
      </c>
      <c r="C12" s="375" t="s">
        <v>371</v>
      </c>
      <c r="D12" s="376" t="s">
        <v>169</v>
      </c>
      <c r="E12" s="377" t="s">
        <v>407</v>
      </c>
      <c r="F12" s="304"/>
      <c r="G12" s="304"/>
      <c r="H12" s="304"/>
      <c r="I12" s="300">
        <v>43664</v>
      </c>
      <c r="J12" s="304" t="s">
        <v>292</v>
      </c>
      <c r="K12" s="302">
        <f>SUM(1830000*100%)</f>
        <v>1830000</v>
      </c>
      <c r="L12" s="301">
        <v>700000</v>
      </c>
      <c r="M12" s="308">
        <v>50000</v>
      </c>
      <c r="N12" s="302"/>
      <c r="O12" s="302"/>
      <c r="P12" s="302"/>
      <c r="Q12" s="304"/>
      <c r="R12" s="304">
        <v>13000</v>
      </c>
      <c r="S12" s="304">
        <v>22</v>
      </c>
      <c r="T12" s="306">
        <f t="shared" si="1"/>
        <v>286000</v>
      </c>
      <c r="U12" s="369"/>
      <c r="V12" s="303">
        <f t="shared" si="0"/>
        <v>2866000</v>
      </c>
      <c r="W12" s="367"/>
      <c r="X12" s="367"/>
      <c r="Y12" s="367">
        <v>12500</v>
      </c>
      <c r="Z12" s="367"/>
      <c r="AA12" s="304">
        <f t="shared" si="2"/>
        <v>0</v>
      </c>
      <c r="AB12" s="367"/>
      <c r="AC12" s="367"/>
      <c r="AD12" s="304">
        <f t="shared" si="3"/>
        <v>0</v>
      </c>
      <c r="AE12" s="367"/>
      <c r="AF12" s="303">
        <f t="shared" si="4"/>
        <v>0</v>
      </c>
      <c r="AG12" s="305">
        <f t="shared" si="5"/>
        <v>13000</v>
      </c>
      <c r="AH12" s="367"/>
      <c r="AI12" s="306">
        <f t="shared" si="6"/>
        <v>0</v>
      </c>
      <c r="AJ12" s="373">
        <f t="shared" si="17"/>
        <v>83181.818181818177</v>
      </c>
      <c r="AK12" s="367"/>
      <c r="AL12" s="304">
        <f t="shared" si="7"/>
        <v>0</v>
      </c>
      <c r="AM12" s="367"/>
      <c r="AN12" s="367"/>
      <c r="AO12" s="304">
        <f t="shared" si="8"/>
        <v>0</v>
      </c>
      <c r="AP12" s="367"/>
      <c r="AQ12" s="367"/>
      <c r="AR12" s="304">
        <f t="shared" si="9"/>
        <v>0</v>
      </c>
      <c r="AS12" s="306">
        <f t="shared" si="10"/>
        <v>0</v>
      </c>
      <c r="AT12" s="303">
        <f t="shared" si="11"/>
        <v>2866000</v>
      </c>
      <c r="AU12" s="308">
        <v>200000</v>
      </c>
      <c r="AV12" s="305">
        <v>1335000</v>
      </c>
      <c r="AW12" s="309">
        <v>15000</v>
      </c>
      <c r="AX12" s="305">
        <f>22726+68178</f>
        <v>90904</v>
      </c>
      <c r="AY12" s="308">
        <v>200000</v>
      </c>
      <c r="AZ12" s="305">
        <f>220000</f>
        <v>220000</v>
      </c>
      <c r="BA12" s="310">
        <f t="shared" si="12"/>
        <v>805096</v>
      </c>
      <c r="BB12" s="304"/>
      <c r="BC12" s="305"/>
      <c r="BD12" s="309">
        <v>15000</v>
      </c>
      <c r="BE12" s="305"/>
      <c r="BF12" s="308">
        <v>200000</v>
      </c>
      <c r="BG12" s="305"/>
      <c r="BH12" s="310">
        <f t="shared" si="13"/>
        <v>2651000</v>
      </c>
    </row>
    <row r="13" spans="1:60" s="374" customFormat="1" ht="15" customHeight="1" x14ac:dyDescent="0.25">
      <c r="A13" s="365">
        <v>10</v>
      </c>
      <c r="B13" s="366">
        <v>10</v>
      </c>
      <c r="C13" s="375" t="s">
        <v>372</v>
      </c>
      <c r="D13" s="378" t="s">
        <v>153</v>
      </c>
      <c r="E13" s="377" t="s">
        <v>408</v>
      </c>
      <c r="F13" s="304"/>
      <c r="G13" s="304"/>
      <c r="H13" s="304"/>
      <c r="I13" s="300">
        <v>41108</v>
      </c>
      <c r="J13" s="304" t="s">
        <v>289</v>
      </c>
      <c r="K13" s="302">
        <f t="shared" ref="K13" si="19">SUM(1730000*100%)</f>
        <v>1730000</v>
      </c>
      <c r="L13" s="301">
        <v>700000</v>
      </c>
      <c r="M13" s="302">
        <v>150000</v>
      </c>
      <c r="N13" s="302">
        <f t="shared" ref="N13:N15" si="20">K13*5/100</f>
        <v>86500</v>
      </c>
      <c r="O13" s="302">
        <f>K13*2*2/100</f>
        <v>69200</v>
      </c>
      <c r="P13" s="302">
        <f t="shared" si="14"/>
        <v>32500</v>
      </c>
      <c r="Q13" s="304"/>
      <c r="R13" s="304">
        <v>13000</v>
      </c>
      <c r="S13" s="304">
        <v>22</v>
      </c>
      <c r="T13" s="306">
        <f t="shared" si="1"/>
        <v>286000</v>
      </c>
      <c r="U13" s="369">
        <f>12500*3*4</f>
        <v>150000</v>
      </c>
      <c r="V13" s="303">
        <f t="shared" si="0"/>
        <v>3204200</v>
      </c>
      <c r="W13" s="367"/>
      <c r="X13" s="367"/>
      <c r="Y13" s="367">
        <v>12500</v>
      </c>
      <c r="Z13" s="367"/>
      <c r="AA13" s="304">
        <f t="shared" si="2"/>
        <v>0</v>
      </c>
      <c r="AB13" s="367"/>
      <c r="AC13" s="367"/>
      <c r="AD13" s="304">
        <f t="shared" si="3"/>
        <v>0</v>
      </c>
      <c r="AE13" s="367"/>
      <c r="AF13" s="303">
        <f t="shared" si="4"/>
        <v>0</v>
      </c>
      <c r="AG13" s="305">
        <f t="shared" si="5"/>
        <v>13000</v>
      </c>
      <c r="AH13" s="367"/>
      <c r="AI13" s="306">
        <f t="shared" si="6"/>
        <v>0</v>
      </c>
      <c r="AJ13" s="373">
        <f t="shared" si="17"/>
        <v>78636.363636363632</v>
      </c>
      <c r="AK13" s="367"/>
      <c r="AL13" s="304">
        <f t="shared" si="7"/>
        <v>0</v>
      </c>
      <c r="AM13" s="367"/>
      <c r="AN13" s="367"/>
      <c r="AO13" s="304">
        <f t="shared" si="8"/>
        <v>0</v>
      </c>
      <c r="AP13" s="367"/>
      <c r="AQ13" s="367"/>
      <c r="AR13" s="304">
        <f t="shared" si="9"/>
        <v>0</v>
      </c>
      <c r="AS13" s="306">
        <f t="shared" si="10"/>
        <v>0</v>
      </c>
      <c r="AT13" s="303">
        <f t="shared" si="11"/>
        <v>3204200</v>
      </c>
      <c r="AU13" s="308">
        <v>200000</v>
      </c>
      <c r="AV13" s="305"/>
      <c r="AW13" s="309">
        <v>15000</v>
      </c>
      <c r="AX13" s="305">
        <f>22726*3+68178</f>
        <v>136356</v>
      </c>
      <c r="AY13" s="304"/>
      <c r="AZ13" s="305"/>
      <c r="BA13" s="310">
        <f t="shared" si="12"/>
        <v>2852844</v>
      </c>
      <c r="BB13" s="308">
        <f>100000+200000</f>
        <v>300000</v>
      </c>
      <c r="BC13" s="305">
        <v>1335000</v>
      </c>
      <c r="BD13" s="309">
        <v>15000</v>
      </c>
      <c r="BE13" s="305">
        <f>24509*3+68178</f>
        <v>141705</v>
      </c>
      <c r="BF13" s="304"/>
      <c r="BG13" s="305"/>
      <c r="BH13" s="310">
        <f t="shared" si="13"/>
        <v>1412495</v>
      </c>
    </row>
    <row r="14" spans="1:60" s="374" customFormat="1" ht="13.5" customHeight="1" x14ac:dyDescent="0.25">
      <c r="A14" s="365">
        <v>11</v>
      </c>
      <c r="B14" s="366">
        <v>11</v>
      </c>
      <c r="C14" s="375" t="s">
        <v>373</v>
      </c>
      <c r="D14" s="378" t="s">
        <v>158</v>
      </c>
      <c r="E14" s="375" t="s">
        <v>409</v>
      </c>
      <c r="F14" s="304"/>
      <c r="G14" s="304"/>
      <c r="H14" s="304"/>
      <c r="I14" s="300">
        <v>41379</v>
      </c>
      <c r="J14" s="304" t="s">
        <v>295</v>
      </c>
      <c r="K14" s="302">
        <f t="shared" ref="K14:K19" si="21">SUM(1730000*100%)</f>
        <v>1730000</v>
      </c>
      <c r="L14" s="301">
        <v>700000</v>
      </c>
      <c r="M14" s="302">
        <v>100000</v>
      </c>
      <c r="N14" s="302">
        <f t="shared" si="20"/>
        <v>86500</v>
      </c>
      <c r="O14" s="307">
        <f>K14*2/100</f>
        <v>34600</v>
      </c>
      <c r="P14" s="302">
        <f t="shared" si="14"/>
        <v>32500</v>
      </c>
      <c r="Q14" s="304"/>
      <c r="R14" s="304">
        <v>9100</v>
      </c>
      <c r="S14" s="304">
        <v>22</v>
      </c>
      <c r="T14" s="306">
        <f t="shared" si="1"/>
        <v>200200</v>
      </c>
      <c r="U14" s="369"/>
      <c r="V14" s="303">
        <f t="shared" si="0"/>
        <v>2883800</v>
      </c>
      <c r="W14" s="367"/>
      <c r="X14" s="367"/>
      <c r="Y14" s="367"/>
      <c r="Z14" s="367"/>
      <c r="AA14" s="304">
        <f t="shared" si="2"/>
        <v>0</v>
      </c>
      <c r="AB14" s="367"/>
      <c r="AC14" s="367"/>
      <c r="AD14" s="304">
        <f t="shared" si="3"/>
        <v>0</v>
      </c>
      <c r="AE14" s="367"/>
      <c r="AF14" s="303">
        <f t="shared" si="4"/>
        <v>0</v>
      </c>
      <c r="AG14" s="305">
        <f t="shared" si="5"/>
        <v>9100</v>
      </c>
      <c r="AH14" s="367"/>
      <c r="AI14" s="306">
        <f t="shared" si="6"/>
        <v>0</v>
      </c>
      <c r="AJ14" s="373">
        <f t="shared" si="17"/>
        <v>78636.363636363632</v>
      </c>
      <c r="AK14" s="367"/>
      <c r="AL14" s="304">
        <f t="shared" si="7"/>
        <v>0</v>
      </c>
      <c r="AM14" s="367"/>
      <c r="AN14" s="367"/>
      <c r="AO14" s="304">
        <f t="shared" si="8"/>
        <v>0</v>
      </c>
      <c r="AP14" s="367"/>
      <c r="AQ14" s="367"/>
      <c r="AR14" s="304">
        <f t="shared" si="9"/>
        <v>0</v>
      </c>
      <c r="AS14" s="306">
        <f t="shared" si="10"/>
        <v>0</v>
      </c>
      <c r="AT14" s="303">
        <f t="shared" si="11"/>
        <v>2883800</v>
      </c>
      <c r="AU14" s="304"/>
      <c r="AV14" s="305">
        <v>1495000</v>
      </c>
      <c r="AW14" s="309">
        <v>15000</v>
      </c>
      <c r="AX14" s="305">
        <v>68178</v>
      </c>
      <c r="AY14" s="308">
        <v>400000</v>
      </c>
      <c r="AZ14" s="305">
        <f>220000+400000</f>
        <v>620000</v>
      </c>
      <c r="BA14" s="310">
        <f t="shared" si="12"/>
        <v>285622</v>
      </c>
      <c r="BB14" s="304"/>
      <c r="BC14" s="305">
        <v>1335000</v>
      </c>
      <c r="BD14" s="309">
        <v>15000</v>
      </c>
      <c r="BE14" s="305">
        <f>24509*2+68178</f>
        <v>117196</v>
      </c>
      <c r="BF14" s="308">
        <v>100000</v>
      </c>
      <c r="BG14" s="305"/>
      <c r="BH14" s="310">
        <f t="shared" si="13"/>
        <v>1316604</v>
      </c>
    </row>
    <row r="15" spans="1:60" s="374" customFormat="1" ht="13.5" customHeight="1" x14ac:dyDescent="0.25">
      <c r="A15" s="365">
        <v>12</v>
      </c>
      <c r="B15" s="366">
        <v>12</v>
      </c>
      <c r="C15" s="375" t="s">
        <v>206</v>
      </c>
      <c r="D15" s="368" t="s">
        <v>153</v>
      </c>
      <c r="E15" s="375" t="s">
        <v>446</v>
      </c>
      <c r="F15" s="367"/>
      <c r="G15" s="367"/>
      <c r="H15" s="367"/>
      <c r="I15" s="300">
        <v>42212</v>
      </c>
      <c r="J15" s="367" t="s">
        <v>297</v>
      </c>
      <c r="K15" s="369">
        <f>SUM(1730000*100%)</f>
        <v>1730000</v>
      </c>
      <c r="L15" s="369">
        <v>500000</v>
      </c>
      <c r="M15" s="369">
        <v>100000</v>
      </c>
      <c r="N15" s="369">
        <f t="shared" si="20"/>
        <v>86500</v>
      </c>
      <c r="O15" s="369"/>
      <c r="P15" s="369">
        <f t="shared" si="14"/>
        <v>32500</v>
      </c>
      <c r="Q15" s="367">
        <v>100000</v>
      </c>
      <c r="R15" s="367">
        <v>11000</v>
      </c>
      <c r="S15" s="367">
        <v>22</v>
      </c>
      <c r="T15" s="372">
        <f t="shared" si="1"/>
        <v>242000</v>
      </c>
      <c r="U15" s="369"/>
      <c r="V15" s="303">
        <f t="shared" si="0"/>
        <v>2791000</v>
      </c>
      <c r="W15" s="367"/>
      <c r="X15" s="367"/>
      <c r="Y15" s="367">
        <v>12500</v>
      </c>
      <c r="Z15" s="367"/>
      <c r="AA15" s="304">
        <f t="shared" si="2"/>
        <v>0</v>
      </c>
      <c r="AB15" s="367"/>
      <c r="AC15" s="367"/>
      <c r="AD15" s="304">
        <f t="shared" si="3"/>
        <v>0</v>
      </c>
      <c r="AE15" s="367"/>
      <c r="AF15" s="303">
        <f t="shared" si="4"/>
        <v>0</v>
      </c>
      <c r="AG15" s="305">
        <f t="shared" si="5"/>
        <v>11000</v>
      </c>
      <c r="AH15" s="367"/>
      <c r="AI15" s="306">
        <f t="shared" si="6"/>
        <v>0</v>
      </c>
      <c r="AJ15" s="373">
        <f t="shared" si="17"/>
        <v>78636.363636363632</v>
      </c>
      <c r="AK15" s="367"/>
      <c r="AL15" s="304">
        <f t="shared" si="7"/>
        <v>0</v>
      </c>
      <c r="AM15" s="367"/>
      <c r="AN15" s="367"/>
      <c r="AO15" s="304">
        <f t="shared" si="8"/>
        <v>0</v>
      </c>
      <c r="AP15" s="367"/>
      <c r="AQ15" s="367"/>
      <c r="AR15" s="304">
        <f t="shared" si="9"/>
        <v>0</v>
      </c>
      <c r="AS15" s="306">
        <f t="shared" si="10"/>
        <v>0</v>
      </c>
      <c r="AT15" s="303">
        <f t="shared" si="11"/>
        <v>2791000</v>
      </c>
      <c r="AU15" s="308">
        <v>100000</v>
      </c>
      <c r="AV15" s="305">
        <v>1335000</v>
      </c>
      <c r="AW15" s="309">
        <v>15000</v>
      </c>
      <c r="AX15" s="305">
        <f>22726+68178</f>
        <v>90904</v>
      </c>
      <c r="AY15" s="308">
        <v>100000</v>
      </c>
      <c r="AZ15" s="305">
        <v>69200</v>
      </c>
      <c r="BA15" s="310">
        <f t="shared" si="12"/>
        <v>1080896</v>
      </c>
      <c r="BB15" s="308">
        <v>100000</v>
      </c>
      <c r="BC15" s="305">
        <v>1335000</v>
      </c>
      <c r="BD15" s="309">
        <v>15000</v>
      </c>
      <c r="BE15" s="305">
        <f>24509+68178</f>
        <v>92687</v>
      </c>
      <c r="BF15" s="308">
        <v>100000</v>
      </c>
      <c r="BG15" s="305"/>
      <c r="BH15" s="310">
        <f t="shared" si="13"/>
        <v>1148313</v>
      </c>
    </row>
    <row r="16" spans="1:60" s="374" customFormat="1" ht="13.5" customHeight="1" x14ac:dyDescent="0.25">
      <c r="A16" s="365"/>
      <c r="B16" s="366">
        <v>13</v>
      </c>
      <c r="C16" s="379" t="s">
        <v>439</v>
      </c>
      <c r="D16" s="368"/>
      <c r="E16" s="375" t="s">
        <v>207</v>
      </c>
      <c r="F16" s="367"/>
      <c r="G16" s="367"/>
      <c r="H16" s="367"/>
      <c r="I16" s="300">
        <v>45501</v>
      </c>
      <c r="J16" s="367"/>
      <c r="K16" s="369">
        <f>SUM(1730000*80%)</f>
        <v>1384000</v>
      </c>
      <c r="L16" s="369">
        <v>300000</v>
      </c>
      <c r="M16" s="369"/>
      <c r="N16" s="369"/>
      <c r="O16" s="369"/>
      <c r="P16" s="369"/>
      <c r="Q16" s="367"/>
      <c r="R16" s="367">
        <v>3700</v>
      </c>
      <c r="S16" s="367">
        <v>22</v>
      </c>
      <c r="T16" s="372">
        <f t="shared" si="1"/>
        <v>81400</v>
      </c>
      <c r="U16" s="369"/>
      <c r="V16" s="303">
        <f t="shared" si="0"/>
        <v>1765400</v>
      </c>
      <c r="W16" s="367"/>
      <c r="X16" s="367"/>
      <c r="Y16" s="367">
        <v>12500</v>
      </c>
      <c r="Z16" s="367"/>
      <c r="AA16" s="304">
        <f t="shared" si="2"/>
        <v>0</v>
      </c>
      <c r="AB16" s="367"/>
      <c r="AC16" s="367"/>
      <c r="AD16" s="304">
        <f t="shared" si="3"/>
        <v>0</v>
      </c>
      <c r="AE16" s="367"/>
      <c r="AF16" s="303">
        <f t="shared" si="4"/>
        <v>0</v>
      </c>
      <c r="AG16" s="305">
        <f t="shared" si="5"/>
        <v>3700</v>
      </c>
      <c r="AH16" s="367"/>
      <c r="AI16" s="306">
        <f t="shared" si="6"/>
        <v>0</v>
      </c>
      <c r="AJ16" s="373"/>
      <c r="AK16" s="367"/>
      <c r="AL16" s="304">
        <f t="shared" si="7"/>
        <v>0</v>
      </c>
      <c r="AM16" s="367"/>
      <c r="AN16" s="367"/>
      <c r="AO16" s="304"/>
      <c r="AP16" s="367"/>
      <c r="AQ16" s="367"/>
      <c r="AR16" s="304"/>
      <c r="AS16" s="306">
        <f t="shared" si="10"/>
        <v>0</v>
      </c>
      <c r="AT16" s="303">
        <f t="shared" si="11"/>
        <v>1765400</v>
      </c>
      <c r="AU16" s="308"/>
      <c r="AV16" s="305"/>
      <c r="AW16" s="309"/>
      <c r="AX16" s="305"/>
      <c r="AY16" s="308"/>
      <c r="AZ16" s="305"/>
      <c r="BA16" s="310"/>
      <c r="BB16" s="308"/>
      <c r="BC16" s="305"/>
      <c r="BD16" s="309">
        <v>15000</v>
      </c>
      <c r="BE16" s="305"/>
      <c r="BF16" s="308"/>
      <c r="BG16" s="305"/>
      <c r="BH16" s="310">
        <f t="shared" si="13"/>
        <v>1750400</v>
      </c>
    </row>
    <row r="17" spans="1:60" s="311" customFormat="1" ht="19.5" customHeight="1" x14ac:dyDescent="0.25">
      <c r="A17" s="299">
        <v>30</v>
      </c>
      <c r="B17" s="366">
        <v>14</v>
      </c>
      <c r="C17" s="375" t="s">
        <v>375</v>
      </c>
      <c r="D17" s="378" t="s">
        <v>155</v>
      </c>
      <c r="E17" s="375" t="s">
        <v>410</v>
      </c>
      <c r="F17" s="304"/>
      <c r="G17" s="304"/>
      <c r="H17" s="304"/>
      <c r="I17" s="300">
        <v>41108</v>
      </c>
      <c r="J17" s="304" t="s">
        <v>289</v>
      </c>
      <c r="K17" s="302">
        <f t="shared" si="21"/>
        <v>1730000</v>
      </c>
      <c r="L17" s="301">
        <v>500000</v>
      </c>
      <c r="M17" s="302">
        <v>150000</v>
      </c>
      <c r="N17" s="302">
        <f t="shared" ref="N17" si="22">K17*5/100</f>
        <v>86500</v>
      </c>
      <c r="O17" s="302">
        <f>K17*2*2/100</f>
        <v>69200</v>
      </c>
      <c r="P17" s="302">
        <f t="shared" ref="P17" si="23">6500*5</f>
        <v>32500</v>
      </c>
      <c r="Q17" s="304"/>
      <c r="R17" s="304">
        <v>3700</v>
      </c>
      <c r="S17" s="304">
        <v>22</v>
      </c>
      <c r="T17" s="306">
        <f t="shared" si="1"/>
        <v>81400</v>
      </c>
      <c r="U17" s="302"/>
      <c r="V17" s="303">
        <f t="shared" si="0"/>
        <v>2649600</v>
      </c>
      <c r="W17" s="304"/>
      <c r="X17" s="304"/>
      <c r="Y17" s="304">
        <v>12500</v>
      </c>
      <c r="Z17" s="304"/>
      <c r="AA17" s="304">
        <f t="shared" si="2"/>
        <v>0</v>
      </c>
      <c r="AB17" s="304">
        <v>8500</v>
      </c>
      <c r="AC17" s="304"/>
      <c r="AD17" s="304">
        <f t="shared" si="3"/>
        <v>0</v>
      </c>
      <c r="AE17" s="303"/>
      <c r="AF17" s="303">
        <f t="shared" si="4"/>
        <v>0</v>
      </c>
      <c r="AG17" s="305">
        <f t="shared" si="5"/>
        <v>3700</v>
      </c>
      <c r="AH17" s="304"/>
      <c r="AI17" s="306">
        <f t="shared" si="6"/>
        <v>0</v>
      </c>
      <c r="AJ17" s="307">
        <f t="shared" ref="AJ17:AJ22" si="24">K17/22</f>
        <v>78636.363636363632</v>
      </c>
      <c r="AK17" s="304"/>
      <c r="AL17" s="304">
        <f t="shared" si="7"/>
        <v>0</v>
      </c>
      <c r="AM17" s="304"/>
      <c r="AN17" s="304"/>
      <c r="AO17" s="304">
        <f t="shared" si="8"/>
        <v>0</v>
      </c>
      <c r="AP17" s="304"/>
      <c r="AQ17" s="304"/>
      <c r="AR17" s="304">
        <f t="shared" si="9"/>
        <v>0</v>
      </c>
      <c r="AS17" s="306">
        <f t="shared" si="10"/>
        <v>0</v>
      </c>
      <c r="AT17" s="303">
        <f t="shared" si="11"/>
        <v>2649600</v>
      </c>
      <c r="AU17" s="304"/>
      <c r="AV17" s="305"/>
      <c r="AW17" s="309">
        <v>15000</v>
      </c>
      <c r="AX17" s="304"/>
      <c r="AY17" s="308">
        <v>100000</v>
      </c>
      <c r="AZ17" s="305"/>
      <c r="BA17" s="310">
        <f t="shared" si="12"/>
        <v>2534600</v>
      </c>
      <c r="BB17" s="308">
        <v>400000</v>
      </c>
      <c r="BC17" s="305"/>
      <c r="BD17" s="309">
        <v>15000</v>
      </c>
      <c r="BE17" s="305">
        <f>24509*4+68178</f>
        <v>166214</v>
      </c>
      <c r="BF17" s="308">
        <v>300000</v>
      </c>
      <c r="BG17" s="305">
        <v>325000</v>
      </c>
      <c r="BH17" s="310">
        <f t="shared" si="13"/>
        <v>1443386</v>
      </c>
    </row>
    <row r="18" spans="1:60" s="311" customFormat="1" ht="14.25" customHeight="1" x14ac:dyDescent="0.25">
      <c r="A18" s="299"/>
      <c r="B18" s="366">
        <v>15</v>
      </c>
      <c r="C18" s="379" t="s">
        <v>442</v>
      </c>
      <c r="D18" s="376"/>
      <c r="E18" s="380" t="s">
        <v>444</v>
      </c>
      <c r="F18" s="304"/>
      <c r="G18" s="304"/>
      <c r="H18" s="304"/>
      <c r="I18" s="300">
        <v>45501</v>
      </c>
      <c r="J18" s="304"/>
      <c r="K18" s="369">
        <f>SUM(1730000*80%)</f>
        <v>1384000</v>
      </c>
      <c r="L18" s="301">
        <v>300000</v>
      </c>
      <c r="M18" s="304"/>
      <c r="N18" s="302"/>
      <c r="O18" s="307"/>
      <c r="P18" s="302"/>
      <c r="Q18" s="304"/>
      <c r="R18" s="304">
        <v>5500</v>
      </c>
      <c r="S18" s="304">
        <v>22</v>
      </c>
      <c r="T18" s="306">
        <f>R18*S18</f>
        <v>121000</v>
      </c>
      <c r="U18" s="306"/>
      <c r="V18" s="303">
        <f>K18+L18+M18+N18+O18+P18+Q18+T18+U18</f>
        <v>1805000</v>
      </c>
      <c r="W18" s="304"/>
      <c r="X18" s="304"/>
      <c r="Y18" s="304">
        <v>12500</v>
      </c>
      <c r="Z18" s="304"/>
      <c r="AA18" s="304">
        <f>Y18*Z18</f>
        <v>0</v>
      </c>
      <c r="AB18" s="304"/>
      <c r="AC18" s="304"/>
      <c r="AD18" s="304">
        <f>AB18*AC18</f>
        <v>0</v>
      </c>
      <c r="AE18" s="303"/>
      <c r="AF18" s="303">
        <f>X18+AA18+AD18+AE18</f>
        <v>0</v>
      </c>
      <c r="AG18" s="305">
        <f>R18</f>
        <v>5500</v>
      </c>
      <c r="AH18" s="304"/>
      <c r="AI18" s="306">
        <f>AG18*AH18</f>
        <v>0</v>
      </c>
      <c r="AJ18" s="307">
        <f>K18/22</f>
        <v>62909.090909090912</v>
      </c>
      <c r="AK18" s="304"/>
      <c r="AL18" s="304">
        <f>AJ18*AK18</f>
        <v>0</v>
      </c>
      <c r="AM18" s="304"/>
      <c r="AN18" s="304"/>
      <c r="AO18" s="304"/>
      <c r="AP18" s="304"/>
      <c r="AQ18" s="304"/>
      <c r="AR18" s="304"/>
      <c r="AS18" s="306">
        <f>AI18+AL18+AO18+AR18</f>
        <v>0</v>
      </c>
      <c r="AT18" s="303">
        <f>V18+AF18-AS18</f>
        <v>1805000</v>
      </c>
      <c r="AU18" s="308"/>
      <c r="AV18" s="305"/>
      <c r="AW18" s="309"/>
      <c r="AX18" s="305"/>
      <c r="AY18" s="308"/>
      <c r="AZ18" s="305"/>
      <c r="BA18" s="310"/>
      <c r="BB18" s="304"/>
      <c r="BC18" s="305"/>
      <c r="BD18" s="309">
        <v>15000</v>
      </c>
      <c r="BE18" s="305"/>
      <c r="BF18" s="308"/>
      <c r="BG18" s="305"/>
      <c r="BH18" s="310">
        <f>AT18-BB18-BC18-BD18-BE18-BF18-BG18</f>
        <v>1790000</v>
      </c>
    </row>
    <row r="19" spans="1:60" s="311" customFormat="1" ht="15" x14ac:dyDescent="0.25">
      <c r="A19" s="299"/>
      <c r="B19" s="366">
        <v>16</v>
      </c>
      <c r="C19" s="375" t="s">
        <v>377</v>
      </c>
      <c r="D19" s="381" t="s">
        <v>177</v>
      </c>
      <c r="E19" s="375" t="s">
        <v>411</v>
      </c>
      <c r="F19" s="304"/>
      <c r="G19" s="304"/>
      <c r="H19" s="304"/>
      <c r="I19" s="382" t="s">
        <v>281</v>
      </c>
      <c r="J19" s="304" t="s">
        <v>292</v>
      </c>
      <c r="K19" s="369">
        <f t="shared" si="21"/>
        <v>1730000</v>
      </c>
      <c r="L19" s="301">
        <v>500000</v>
      </c>
      <c r="M19" s="304">
        <v>50000</v>
      </c>
      <c r="N19" s="369">
        <f t="shared" ref="N19" si="25">K19*5/100</f>
        <v>86500</v>
      </c>
      <c r="O19" s="307">
        <f>K19*2/100</f>
        <v>34600</v>
      </c>
      <c r="P19" s="302">
        <f t="shared" ref="P19" si="26">6500*5</f>
        <v>32500</v>
      </c>
      <c r="Q19" s="304"/>
      <c r="R19" s="304">
        <v>11000</v>
      </c>
      <c r="S19" s="304">
        <v>22</v>
      </c>
      <c r="T19" s="306">
        <f t="shared" si="1"/>
        <v>242000</v>
      </c>
      <c r="U19" s="304"/>
      <c r="V19" s="303">
        <f t="shared" si="0"/>
        <v>2675600</v>
      </c>
      <c r="W19" s="304"/>
      <c r="X19" s="307"/>
      <c r="Y19" s="304">
        <v>12500</v>
      </c>
      <c r="Z19" s="304"/>
      <c r="AA19" s="304">
        <f t="shared" si="2"/>
        <v>0</v>
      </c>
      <c r="AB19" s="304"/>
      <c r="AC19" s="304"/>
      <c r="AD19" s="304">
        <f t="shared" si="3"/>
        <v>0</v>
      </c>
      <c r="AE19" s="303"/>
      <c r="AF19" s="303">
        <f t="shared" si="4"/>
        <v>0</v>
      </c>
      <c r="AG19" s="305">
        <f t="shared" si="5"/>
        <v>11000</v>
      </c>
      <c r="AH19" s="304"/>
      <c r="AI19" s="306">
        <f t="shared" si="6"/>
        <v>0</v>
      </c>
      <c r="AJ19" s="307">
        <f t="shared" si="24"/>
        <v>78636.363636363632</v>
      </c>
      <c r="AK19" s="304"/>
      <c r="AL19" s="304">
        <f t="shared" si="7"/>
        <v>0</v>
      </c>
      <c r="AM19" s="304"/>
      <c r="AN19" s="304"/>
      <c r="AO19" s="304">
        <f t="shared" si="8"/>
        <v>0</v>
      </c>
      <c r="AP19" s="304"/>
      <c r="AQ19" s="304"/>
      <c r="AR19" s="304">
        <f t="shared" si="9"/>
        <v>0</v>
      </c>
      <c r="AS19" s="306">
        <f t="shared" si="10"/>
        <v>0</v>
      </c>
      <c r="AT19" s="303">
        <f t="shared" si="11"/>
        <v>2675600</v>
      </c>
      <c r="AU19" s="305"/>
      <c r="AV19" s="305"/>
      <c r="AW19" s="309">
        <v>15000</v>
      </c>
      <c r="AX19" s="305"/>
      <c r="AY19" s="304">
        <v>100000</v>
      </c>
      <c r="AZ19" s="305"/>
      <c r="BA19" s="310">
        <f t="shared" si="12"/>
        <v>2560600</v>
      </c>
      <c r="BB19" s="305"/>
      <c r="BC19" s="305"/>
      <c r="BD19" s="309">
        <v>15000</v>
      </c>
      <c r="BE19" s="305"/>
      <c r="BF19" s="304">
        <v>100000</v>
      </c>
      <c r="BG19" s="305"/>
      <c r="BH19" s="310">
        <f t="shared" si="13"/>
        <v>2560600</v>
      </c>
    </row>
    <row r="20" spans="1:60" s="311" customFormat="1" ht="15" x14ac:dyDescent="0.25">
      <c r="A20" s="299"/>
      <c r="B20" s="366">
        <v>17</v>
      </c>
      <c r="C20" s="379" t="s">
        <v>441</v>
      </c>
      <c r="D20" s="376"/>
      <c r="E20" s="379" t="s">
        <v>445</v>
      </c>
      <c r="F20" s="304"/>
      <c r="G20" s="304"/>
      <c r="H20" s="304"/>
      <c r="I20" s="300">
        <v>45501</v>
      </c>
      <c r="J20" s="304"/>
      <c r="K20" s="369">
        <f>SUM(1730000*80%)</f>
        <v>1384000</v>
      </c>
      <c r="L20" s="301">
        <v>300000</v>
      </c>
      <c r="M20" s="304"/>
      <c r="N20" s="369"/>
      <c r="O20" s="307"/>
      <c r="P20" s="302"/>
      <c r="Q20" s="304"/>
      <c r="R20" s="304">
        <v>3700</v>
      </c>
      <c r="S20" s="304">
        <v>22</v>
      </c>
      <c r="T20" s="306">
        <f t="shared" si="1"/>
        <v>81400</v>
      </c>
      <c r="U20" s="304"/>
      <c r="V20" s="303">
        <f t="shared" si="0"/>
        <v>1765400</v>
      </c>
      <c r="W20" s="304"/>
      <c r="X20" s="307"/>
      <c r="Y20" s="304">
        <v>12500</v>
      </c>
      <c r="Z20" s="304"/>
      <c r="AA20" s="304">
        <f t="shared" si="2"/>
        <v>0</v>
      </c>
      <c r="AB20" s="304"/>
      <c r="AC20" s="304"/>
      <c r="AD20" s="304">
        <f t="shared" si="3"/>
        <v>0</v>
      </c>
      <c r="AE20" s="303"/>
      <c r="AF20" s="303">
        <f t="shared" si="4"/>
        <v>0</v>
      </c>
      <c r="AG20" s="305">
        <f t="shared" si="5"/>
        <v>3700</v>
      </c>
      <c r="AH20" s="304"/>
      <c r="AI20" s="306">
        <f t="shared" si="6"/>
        <v>0</v>
      </c>
      <c r="AJ20" s="307">
        <f t="shared" si="24"/>
        <v>62909.090909090912</v>
      </c>
      <c r="AK20" s="304"/>
      <c r="AL20" s="304">
        <f t="shared" si="7"/>
        <v>0</v>
      </c>
      <c r="AM20" s="304"/>
      <c r="AN20" s="304"/>
      <c r="AO20" s="304"/>
      <c r="AP20" s="304"/>
      <c r="AQ20" s="304"/>
      <c r="AR20" s="304"/>
      <c r="AS20" s="306">
        <f t="shared" si="10"/>
        <v>0</v>
      </c>
      <c r="AT20" s="303">
        <f t="shared" si="11"/>
        <v>1765400</v>
      </c>
      <c r="AU20" s="305"/>
      <c r="AV20" s="305"/>
      <c r="AW20" s="309"/>
      <c r="AX20" s="305"/>
      <c r="AY20" s="304"/>
      <c r="AZ20" s="305"/>
      <c r="BA20" s="310"/>
      <c r="BB20" s="305"/>
      <c r="BC20" s="305"/>
      <c r="BD20" s="309">
        <v>15000</v>
      </c>
      <c r="BE20" s="305"/>
      <c r="BF20" s="304"/>
      <c r="BG20" s="305"/>
      <c r="BH20" s="310">
        <f t="shared" si="13"/>
        <v>1750400</v>
      </c>
    </row>
    <row r="21" spans="1:60" s="311" customFormat="1" ht="17.25" customHeight="1" x14ac:dyDescent="0.25">
      <c r="A21" s="299">
        <v>27</v>
      </c>
      <c r="B21" s="366">
        <v>18</v>
      </c>
      <c r="C21" s="383" t="s">
        <v>42</v>
      </c>
      <c r="D21" s="378" t="s">
        <v>152</v>
      </c>
      <c r="E21" s="375" t="s">
        <v>380</v>
      </c>
      <c r="F21" s="304"/>
      <c r="G21" s="304"/>
      <c r="H21" s="304"/>
      <c r="I21" s="384" t="s">
        <v>450</v>
      </c>
      <c r="J21" s="304" t="s">
        <v>296</v>
      </c>
      <c r="K21" s="302">
        <f>SUM(1730000*80%)</f>
        <v>1384000</v>
      </c>
      <c r="L21" s="301">
        <v>1100000</v>
      </c>
      <c r="M21" s="302"/>
      <c r="N21" s="302"/>
      <c r="O21" s="307"/>
      <c r="P21" s="302"/>
      <c r="Q21" s="304"/>
      <c r="R21" s="304">
        <v>11000</v>
      </c>
      <c r="S21" s="304">
        <v>22</v>
      </c>
      <c r="T21" s="306">
        <f t="shared" si="1"/>
        <v>242000</v>
      </c>
      <c r="U21" s="302"/>
      <c r="V21" s="303">
        <f t="shared" si="0"/>
        <v>2726000</v>
      </c>
      <c r="W21" s="304"/>
      <c r="X21" s="304"/>
      <c r="Y21" s="304">
        <v>12500</v>
      </c>
      <c r="Z21" s="304"/>
      <c r="AA21" s="304">
        <f t="shared" si="2"/>
        <v>0</v>
      </c>
      <c r="AB21" s="304"/>
      <c r="AC21" s="304"/>
      <c r="AD21" s="304">
        <f t="shared" si="3"/>
        <v>0</v>
      </c>
      <c r="AE21" s="303"/>
      <c r="AF21" s="303">
        <f t="shared" si="4"/>
        <v>0</v>
      </c>
      <c r="AG21" s="305">
        <f t="shared" si="5"/>
        <v>11000</v>
      </c>
      <c r="AH21" s="304"/>
      <c r="AI21" s="306">
        <f t="shared" si="6"/>
        <v>0</v>
      </c>
      <c r="AJ21" s="307">
        <f t="shared" si="24"/>
        <v>62909.090909090912</v>
      </c>
      <c r="AK21" s="304"/>
      <c r="AL21" s="304">
        <f t="shared" si="7"/>
        <v>0</v>
      </c>
      <c r="AM21" s="304"/>
      <c r="AN21" s="304"/>
      <c r="AO21" s="304">
        <f t="shared" si="8"/>
        <v>0</v>
      </c>
      <c r="AP21" s="304"/>
      <c r="AQ21" s="304"/>
      <c r="AR21" s="304">
        <f t="shared" si="9"/>
        <v>0</v>
      </c>
      <c r="AS21" s="306">
        <f t="shared" si="10"/>
        <v>0</v>
      </c>
      <c r="AT21" s="303">
        <f t="shared" si="11"/>
        <v>2726000</v>
      </c>
      <c r="AU21" s="308">
        <v>400000</v>
      </c>
      <c r="AV21" s="305"/>
      <c r="AW21" s="309">
        <v>15000</v>
      </c>
      <c r="AX21" s="305">
        <f>22726*4+68178</f>
        <v>159082</v>
      </c>
      <c r="AY21" s="308">
        <v>200000</v>
      </c>
      <c r="AZ21" s="305"/>
      <c r="BA21" s="310">
        <f t="shared" si="12"/>
        <v>1951918</v>
      </c>
      <c r="BB21" s="308">
        <v>100000</v>
      </c>
      <c r="BC21" s="305"/>
      <c r="BD21" s="309">
        <v>15000</v>
      </c>
      <c r="BE21" s="305">
        <v>68178</v>
      </c>
      <c r="BF21" s="304"/>
      <c r="BG21" s="305">
        <f>325000</f>
        <v>325000</v>
      </c>
      <c r="BH21" s="310">
        <f t="shared" si="13"/>
        <v>2217822</v>
      </c>
    </row>
    <row r="22" spans="1:60" s="311" customFormat="1" ht="17.25" customHeight="1" x14ac:dyDescent="0.25">
      <c r="A22" s="299"/>
      <c r="B22" s="366">
        <v>19</v>
      </c>
      <c r="C22" s="375" t="s">
        <v>379</v>
      </c>
      <c r="D22" s="385" t="s">
        <v>189</v>
      </c>
      <c r="E22" s="375" t="s">
        <v>381</v>
      </c>
      <c r="F22" s="304"/>
      <c r="G22" s="304"/>
      <c r="H22" s="304"/>
      <c r="I22" s="300" t="s">
        <v>287</v>
      </c>
      <c r="J22" s="304" t="s">
        <v>294</v>
      </c>
      <c r="K22" s="302">
        <f t="shared" ref="K22" si="27">SUM(1730000*100%)</f>
        <v>1730000</v>
      </c>
      <c r="L22" s="301">
        <v>600000</v>
      </c>
      <c r="M22" s="308"/>
      <c r="N22" s="302"/>
      <c r="O22" s="307"/>
      <c r="P22" s="302"/>
      <c r="Q22" s="304"/>
      <c r="R22" s="304">
        <v>11000</v>
      </c>
      <c r="S22" s="304">
        <v>22</v>
      </c>
      <c r="T22" s="306">
        <f t="shared" si="1"/>
        <v>242000</v>
      </c>
      <c r="U22" s="302"/>
      <c r="V22" s="303">
        <f t="shared" si="0"/>
        <v>2572000</v>
      </c>
      <c r="W22" s="304"/>
      <c r="X22" s="304"/>
      <c r="Y22" s="304">
        <v>12500</v>
      </c>
      <c r="Z22" s="304"/>
      <c r="AA22" s="304">
        <f t="shared" si="2"/>
        <v>0</v>
      </c>
      <c r="AB22" s="304"/>
      <c r="AC22" s="304"/>
      <c r="AD22" s="304">
        <f t="shared" si="3"/>
        <v>0</v>
      </c>
      <c r="AE22" s="303"/>
      <c r="AF22" s="303">
        <f t="shared" si="4"/>
        <v>0</v>
      </c>
      <c r="AG22" s="305">
        <f t="shared" si="5"/>
        <v>11000</v>
      </c>
      <c r="AH22" s="304"/>
      <c r="AI22" s="306">
        <f t="shared" si="6"/>
        <v>0</v>
      </c>
      <c r="AJ22" s="307">
        <f t="shared" si="24"/>
        <v>78636.363636363632</v>
      </c>
      <c r="AK22" s="304"/>
      <c r="AL22" s="304">
        <f t="shared" si="7"/>
        <v>0</v>
      </c>
      <c r="AM22" s="304"/>
      <c r="AN22" s="304"/>
      <c r="AO22" s="304">
        <f t="shared" si="8"/>
        <v>0</v>
      </c>
      <c r="AP22" s="304"/>
      <c r="AQ22" s="304"/>
      <c r="AR22" s="304">
        <f t="shared" si="9"/>
        <v>0</v>
      </c>
      <c r="AS22" s="306">
        <f t="shared" si="10"/>
        <v>0</v>
      </c>
      <c r="AT22" s="303">
        <f t="shared" si="11"/>
        <v>2572000</v>
      </c>
      <c r="AU22" s="308"/>
      <c r="AV22" s="305"/>
      <c r="AW22" s="309">
        <v>15000</v>
      </c>
      <c r="AX22" s="305"/>
      <c r="AY22" s="304">
        <v>100000</v>
      </c>
      <c r="AZ22" s="305"/>
      <c r="BA22" s="310">
        <f t="shared" si="12"/>
        <v>2457000</v>
      </c>
      <c r="BB22" s="308"/>
      <c r="BC22" s="305"/>
      <c r="BD22" s="309">
        <v>15000</v>
      </c>
      <c r="BE22" s="305"/>
      <c r="BF22" s="304">
        <v>100000</v>
      </c>
      <c r="BG22" s="305"/>
      <c r="BH22" s="310">
        <f t="shared" si="13"/>
        <v>2457000</v>
      </c>
    </row>
    <row r="23" spans="1:60" s="311" customFormat="1" ht="15" x14ac:dyDescent="0.25">
      <c r="A23" s="299">
        <v>19</v>
      </c>
      <c r="B23" s="366">
        <v>20</v>
      </c>
      <c r="C23" s="375" t="s">
        <v>397</v>
      </c>
      <c r="D23" s="368" t="s">
        <v>145</v>
      </c>
      <c r="E23" s="375" t="s">
        <v>457</v>
      </c>
      <c r="F23" s="367"/>
      <c r="G23" s="367"/>
      <c r="H23" s="367"/>
      <c r="I23" s="386" t="s">
        <v>279</v>
      </c>
      <c r="J23" s="367" t="s">
        <v>456</v>
      </c>
      <c r="K23" s="369">
        <f t="shared" ref="K23" si="28">SUM(1730000*100%)</f>
        <v>1730000</v>
      </c>
      <c r="L23" s="301">
        <v>1100000</v>
      </c>
      <c r="M23" s="369">
        <v>150000</v>
      </c>
      <c r="N23" s="369">
        <f>K23*5/100</f>
        <v>86500</v>
      </c>
      <c r="O23" s="369">
        <f>K23*2*2/100</f>
        <v>69200</v>
      </c>
      <c r="P23" s="369">
        <f t="shared" ref="P23:P40" si="29">6500*5</f>
        <v>32500</v>
      </c>
      <c r="Q23" s="367"/>
      <c r="R23" s="367">
        <v>5500</v>
      </c>
      <c r="S23" s="367">
        <v>22</v>
      </c>
      <c r="T23" s="372">
        <f>R23*S23</f>
        <v>121000</v>
      </c>
      <c r="U23" s="302"/>
      <c r="V23" s="303">
        <f>K23+L23+M23+N23+O23+P23+Q23+T23+U23</f>
        <v>3289200</v>
      </c>
      <c r="W23" s="304"/>
      <c r="X23" s="304"/>
      <c r="Y23" s="304">
        <v>12500</v>
      </c>
      <c r="Z23" s="304"/>
      <c r="AA23" s="304">
        <f>Y23*Z23</f>
        <v>0</v>
      </c>
      <c r="AB23" s="304"/>
      <c r="AC23" s="304"/>
      <c r="AD23" s="304">
        <f>AB23*AC23</f>
        <v>0</v>
      </c>
      <c r="AE23" s="303"/>
      <c r="AF23" s="303">
        <f>X23+AA23+AD23+AE23</f>
        <v>0</v>
      </c>
      <c r="AG23" s="305">
        <f>R23</f>
        <v>5500</v>
      </c>
      <c r="AH23" s="304"/>
      <c r="AI23" s="306">
        <f>AG23*AH23</f>
        <v>0</v>
      </c>
      <c r="AJ23" s="307">
        <f>K23/22</f>
        <v>78636.363636363632</v>
      </c>
      <c r="AK23" s="304"/>
      <c r="AL23" s="304">
        <f>AJ23*AK23</f>
        <v>0</v>
      </c>
      <c r="AM23" s="304"/>
      <c r="AN23" s="304"/>
      <c r="AO23" s="304">
        <f>AM23*AN23</f>
        <v>0</v>
      </c>
      <c r="AP23" s="304"/>
      <c r="AQ23" s="304"/>
      <c r="AR23" s="304">
        <f>AP23*AQ23</f>
        <v>0</v>
      </c>
      <c r="AS23" s="306">
        <f>AI23+AL23+AO23+AR23</f>
        <v>0</v>
      </c>
      <c r="AT23" s="303">
        <f>V23+AF23-AS23</f>
        <v>3289200</v>
      </c>
      <c r="AU23" s="304"/>
      <c r="AV23" s="305"/>
      <c r="AW23" s="309">
        <v>15000</v>
      </c>
      <c r="AX23" s="305"/>
      <c r="AY23" s="308">
        <v>100000</v>
      </c>
      <c r="AZ23" s="305"/>
      <c r="BA23" s="310">
        <f>AT23-AU23-AV23-AW23-AX23-AY23-AZ23</f>
        <v>3174200</v>
      </c>
      <c r="BB23" s="308">
        <v>200000</v>
      </c>
      <c r="BC23" s="305">
        <v>1335000</v>
      </c>
      <c r="BD23" s="309">
        <v>15000</v>
      </c>
      <c r="BE23" s="305">
        <f>24509+68178</f>
        <v>92687</v>
      </c>
      <c r="BF23" s="308"/>
      <c r="BG23" s="305">
        <f>220000</f>
        <v>220000</v>
      </c>
      <c r="BH23" s="310">
        <f>AT23-BB23-BC23-BD23-BE23-BF23-BG23</f>
        <v>1426513</v>
      </c>
    </row>
    <row r="24" spans="1:60" s="311" customFormat="1" ht="17.25" customHeight="1" x14ac:dyDescent="0.25">
      <c r="A24" s="299"/>
      <c r="B24" s="366">
        <v>21</v>
      </c>
      <c r="C24" s="379" t="s">
        <v>440</v>
      </c>
      <c r="D24" s="376"/>
      <c r="E24" s="380" t="s">
        <v>458</v>
      </c>
      <c r="F24" s="304"/>
      <c r="G24" s="304"/>
      <c r="H24" s="304"/>
      <c r="I24" s="300">
        <v>45501</v>
      </c>
      <c r="J24" s="304"/>
      <c r="K24" s="302">
        <f>SUM(1730000*80%)</f>
        <v>1384000</v>
      </c>
      <c r="L24" s="301">
        <v>600000</v>
      </c>
      <c r="M24" s="302"/>
      <c r="N24" s="302"/>
      <c r="O24" s="302"/>
      <c r="P24" s="302"/>
      <c r="Q24" s="304"/>
      <c r="R24" s="304">
        <v>13000</v>
      </c>
      <c r="S24" s="304">
        <v>22</v>
      </c>
      <c r="T24" s="306">
        <f>R24*S24</f>
        <v>286000</v>
      </c>
      <c r="U24" s="302"/>
      <c r="V24" s="303">
        <f>K24+L24+M24+N24+O24+P24+Q24+T24+U24</f>
        <v>2270000</v>
      </c>
      <c r="W24" s="304"/>
      <c r="X24" s="304"/>
      <c r="Y24" s="304">
        <v>12500</v>
      </c>
      <c r="Z24" s="304"/>
      <c r="AA24" s="304">
        <f>Y24*Z24</f>
        <v>0</v>
      </c>
      <c r="AB24" s="304"/>
      <c r="AC24" s="304"/>
      <c r="AD24" s="304">
        <f>AB24*AC24</f>
        <v>0</v>
      </c>
      <c r="AE24" s="303"/>
      <c r="AF24" s="303">
        <f>X24+AA24+AD24+AE24</f>
        <v>0</v>
      </c>
      <c r="AG24" s="305">
        <f>R24</f>
        <v>13000</v>
      </c>
      <c r="AH24" s="304"/>
      <c r="AI24" s="306">
        <f>AG24*AH24</f>
        <v>0</v>
      </c>
      <c r="AJ24" s="307">
        <f>K24/22</f>
        <v>62909.090909090912</v>
      </c>
      <c r="AK24" s="304"/>
      <c r="AL24" s="304">
        <f>AJ24*AK24</f>
        <v>0</v>
      </c>
      <c r="AM24" s="304"/>
      <c r="AN24" s="304"/>
      <c r="AO24" s="304"/>
      <c r="AP24" s="304"/>
      <c r="AQ24" s="304"/>
      <c r="AR24" s="304"/>
      <c r="AS24" s="306">
        <f>AI24+AL24+AO24+AR24</f>
        <v>0</v>
      </c>
      <c r="AT24" s="303">
        <f>V24+AF24-AS24</f>
        <v>2270000</v>
      </c>
      <c r="AU24" s="304"/>
      <c r="AV24" s="305"/>
      <c r="AW24" s="309"/>
      <c r="AX24" s="304"/>
      <c r="AY24" s="308"/>
      <c r="AZ24" s="305"/>
      <c r="BA24" s="310"/>
      <c r="BB24" s="308"/>
      <c r="BC24" s="305"/>
      <c r="BD24" s="309">
        <v>15000</v>
      </c>
      <c r="BE24" s="305"/>
      <c r="BF24" s="308"/>
      <c r="BG24" s="305"/>
      <c r="BH24" s="310">
        <f>AT24-BB24-BC24-BD24-BE24-BF24-BG24</f>
        <v>2255000</v>
      </c>
    </row>
    <row r="25" spans="1:60" s="311" customFormat="1" ht="13.5" customHeight="1" x14ac:dyDescent="0.25">
      <c r="A25" s="299"/>
      <c r="B25" s="366">
        <v>22</v>
      </c>
      <c r="C25" s="375" t="s">
        <v>382</v>
      </c>
      <c r="D25" s="385" t="s">
        <v>185</v>
      </c>
      <c r="E25" s="375" t="s">
        <v>208</v>
      </c>
      <c r="F25" s="304"/>
      <c r="G25" s="304"/>
      <c r="H25" s="304"/>
      <c r="I25" s="300" t="s">
        <v>286</v>
      </c>
      <c r="J25" s="304" t="s">
        <v>293</v>
      </c>
      <c r="K25" s="302">
        <f t="shared" ref="K25" si="30">SUM(1730000*100%)</f>
        <v>1730000</v>
      </c>
      <c r="L25" s="301">
        <v>500000</v>
      </c>
      <c r="M25" s="304">
        <v>50000</v>
      </c>
      <c r="N25" s="307">
        <f>K25*5/100</f>
        <v>86500</v>
      </c>
      <c r="O25" s="307">
        <f>K25*2/100</f>
        <v>34600</v>
      </c>
      <c r="P25" s="369">
        <f t="shared" si="29"/>
        <v>32500</v>
      </c>
      <c r="Q25" s="304"/>
      <c r="R25" s="304">
        <v>11000</v>
      </c>
      <c r="S25" s="304">
        <v>22</v>
      </c>
      <c r="T25" s="306">
        <f>R25*S25</f>
        <v>242000</v>
      </c>
      <c r="U25" s="302"/>
      <c r="V25" s="303">
        <f t="shared" si="0"/>
        <v>2675600</v>
      </c>
      <c r="W25" s="304"/>
      <c r="X25" s="304"/>
      <c r="Y25" s="304">
        <v>12500</v>
      </c>
      <c r="Z25" s="304"/>
      <c r="AA25" s="304">
        <f t="shared" si="2"/>
        <v>0</v>
      </c>
      <c r="AB25" s="304"/>
      <c r="AC25" s="304"/>
      <c r="AD25" s="304">
        <f t="shared" si="3"/>
        <v>0</v>
      </c>
      <c r="AE25" s="303"/>
      <c r="AF25" s="303">
        <f t="shared" si="4"/>
        <v>0</v>
      </c>
      <c r="AG25" s="305">
        <f t="shared" si="5"/>
        <v>11000</v>
      </c>
      <c r="AH25" s="304"/>
      <c r="AI25" s="306">
        <f t="shared" si="6"/>
        <v>0</v>
      </c>
      <c r="AJ25" s="307">
        <f t="shared" ref="AJ25:AJ31" si="31">K25/22</f>
        <v>78636.363636363632</v>
      </c>
      <c r="AK25" s="304"/>
      <c r="AL25" s="304">
        <f t="shared" si="7"/>
        <v>0</v>
      </c>
      <c r="AM25" s="304"/>
      <c r="AN25" s="304"/>
      <c r="AO25" s="304">
        <f t="shared" si="8"/>
        <v>0</v>
      </c>
      <c r="AP25" s="304"/>
      <c r="AQ25" s="304"/>
      <c r="AR25" s="304">
        <f t="shared" si="9"/>
        <v>0</v>
      </c>
      <c r="AS25" s="306">
        <f t="shared" si="10"/>
        <v>0</v>
      </c>
      <c r="AT25" s="303">
        <f t="shared" si="11"/>
        <v>2675600</v>
      </c>
      <c r="AU25" s="308"/>
      <c r="AV25" s="305"/>
      <c r="AW25" s="309">
        <v>15000</v>
      </c>
      <c r="AX25" s="305"/>
      <c r="AY25" s="304">
        <v>100000</v>
      </c>
      <c r="AZ25" s="305"/>
      <c r="BA25" s="310">
        <f t="shared" si="12"/>
        <v>2560600</v>
      </c>
      <c r="BB25" s="304"/>
      <c r="BC25" s="305"/>
      <c r="BD25" s="309">
        <v>15000</v>
      </c>
      <c r="BE25" s="305"/>
      <c r="BF25" s="304"/>
      <c r="BG25" s="305"/>
      <c r="BH25" s="310">
        <f t="shared" si="13"/>
        <v>2660600</v>
      </c>
    </row>
    <row r="26" spans="1:60" s="311" customFormat="1" ht="14.1" customHeight="1" x14ac:dyDescent="0.25">
      <c r="A26" s="299"/>
      <c r="B26" s="366">
        <v>23</v>
      </c>
      <c r="C26" s="375" t="s">
        <v>383</v>
      </c>
      <c r="D26" s="385" t="s">
        <v>186</v>
      </c>
      <c r="E26" s="375" t="s">
        <v>209</v>
      </c>
      <c r="F26" s="304"/>
      <c r="G26" s="304"/>
      <c r="H26" s="304"/>
      <c r="I26" s="300" t="s">
        <v>286</v>
      </c>
      <c r="J26" s="304" t="s">
        <v>293</v>
      </c>
      <c r="K26" s="369">
        <f>SUM(1830000*100%)</f>
        <v>1830000</v>
      </c>
      <c r="L26" s="301">
        <v>300000</v>
      </c>
      <c r="M26" s="304">
        <v>50000</v>
      </c>
      <c r="N26" s="307">
        <f>K26*5/100</f>
        <v>91500</v>
      </c>
      <c r="O26" s="307">
        <f>K26*2/100</f>
        <v>36600</v>
      </c>
      <c r="P26" s="369">
        <f t="shared" si="29"/>
        <v>32500</v>
      </c>
      <c r="Q26" s="304"/>
      <c r="R26" s="304">
        <v>11000</v>
      </c>
      <c r="S26" s="304">
        <v>22</v>
      </c>
      <c r="T26" s="306">
        <f t="shared" ref="T26:T31" si="32">R26*S26</f>
        <v>242000</v>
      </c>
      <c r="U26" s="304"/>
      <c r="V26" s="303">
        <f t="shared" si="0"/>
        <v>2582600</v>
      </c>
      <c r="W26" s="304"/>
      <c r="X26" s="304"/>
      <c r="Y26" s="304">
        <v>12500</v>
      </c>
      <c r="Z26" s="304"/>
      <c r="AA26" s="304">
        <f t="shared" si="2"/>
        <v>0</v>
      </c>
      <c r="AB26" s="304"/>
      <c r="AC26" s="304"/>
      <c r="AD26" s="304">
        <f t="shared" si="3"/>
        <v>0</v>
      </c>
      <c r="AE26" s="303"/>
      <c r="AF26" s="303">
        <f t="shared" si="4"/>
        <v>0</v>
      </c>
      <c r="AG26" s="305">
        <f t="shared" si="5"/>
        <v>11000</v>
      </c>
      <c r="AH26" s="304"/>
      <c r="AI26" s="306">
        <f t="shared" si="6"/>
        <v>0</v>
      </c>
      <c r="AJ26" s="307">
        <f t="shared" si="31"/>
        <v>83181.818181818177</v>
      </c>
      <c r="AK26" s="304"/>
      <c r="AL26" s="304">
        <f t="shared" si="7"/>
        <v>0</v>
      </c>
      <c r="AM26" s="304"/>
      <c r="AN26" s="304"/>
      <c r="AO26" s="304">
        <f t="shared" si="8"/>
        <v>0</v>
      </c>
      <c r="AP26" s="304"/>
      <c r="AQ26" s="304"/>
      <c r="AR26" s="304">
        <f t="shared" si="9"/>
        <v>0</v>
      </c>
      <c r="AS26" s="306">
        <f t="shared" si="10"/>
        <v>0</v>
      </c>
      <c r="AT26" s="303">
        <f t="shared" si="11"/>
        <v>2582600</v>
      </c>
      <c r="AU26" s="304"/>
      <c r="AV26" s="305"/>
      <c r="AW26" s="309">
        <v>15000</v>
      </c>
      <c r="AX26" s="305"/>
      <c r="AY26" s="304">
        <v>100000</v>
      </c>
      <c r="AZ26" s="305"/>
      <c r="BA26" s="310">
        <f t="shared" si="12"/>
        <v>2467600</v>
      </c>
      <c r="BB26" s="308"/>
      <c r="BC26" s="305"/>
      <c r="BD26" s="309">
        <v>15000</v>
      </c>
      <c r="BE26" s="305"/>
      <c r="BF26" s="308"/>
      <c r="BG26" s="305"/>
      <c r="BH26" s="310">
        <f t="shared" si="13"/>
        <v>2567600</v>
      </c>
    </row>
    <row r="27" spans="1:60" s="311" customFormat="1" ht="15" x14ac:dyDescent="0.25">
      <c r="A27" s="299"/>
      <c r="B27" s="366">
        <v>24</v>
      </c>
      <c r="C27" s="375" t="s">
        <v>387</v>
      </c>
      <c r="D27" s="385" t="s">
        <v>184</v>
      </c>
      <c r="E27" s="375" t="s">
        <v>459</v>
      </c>
      <c r="F27" s="304"/>
      <c r="G27" s="304"/>
      <c r="H27" s="304"/>
      <c r="I27" s="300" t="s">
        <v>286</v>
      </c>
      <c r="J27" s="304" t="s">
        <v>293</v>
      </c>
      <c r="K27" s="302">
        <f t="shared" ref="K27:K47" si="33">SUM(1730000*100%)</f>
        <v>1730000</v>
      </c>
      <c r="L27" s="301">
        <v>600000</v>
      </c>
      <c r="M27" s="304">
        <v>50000</v>
      </c>
      <c r="N27" s="304"/>
      <c r="O27" s="304"/>
      <c r="P27" s="369">
        <f t="shared" si="29"/>
        <v>32500</v>
      </c>
      <c r="Q27" s="304"/>
      <c r="R27" s="304">
        <v>13000</v>
      </c>
      <c r="S27" s="304">
        <v>22</v>
      </c>
      <c r="T27" s="306">
        <f>R27*S27</f>
        <v>286000</v>
      </c>
      <c r="U27" s="387"/>
      <c r="V27" s="303">
        <f>K27+L27+M27+N27+O27+P27+Q27+T27+U27</f>
        <v>2698500</v>
      </c>
      <c r="W27" s="304"/>
      <c r="X27" s="305"/>
      <c r="Y27" s="304">
        <v>12500</v>
      </c>
      <c r="Z27" s="304"/>
      <c r="AA27" s="304">
        <f>Y27*Z27</f>
        <v>0</v>
      </c>
      <c r="AB27" s="304"/>
      <c r="AC27" s="304"/>
      <c r="AD27" s="304">
        <f>AB27*AC27</f>
        <v>0</v>
      </c>
      <c r="AE27" s="303"/>
      <c r="AF27" s="303">
        <f>X27+AA27+AD27+AE27</f>
        <v>0</v>
      </c>
      <c r="AG27" s="305">
        <f>R27</f>
        <v>13000</v>
      </c>
      <c r="AH27" s="304"/>
      <c r="AI27" s="306">
        <f>AG27*AH27</f>
        <v>0</v>
      </c>
      <c r="AJ27" s="307">
        <f>K27/22</f>
        <v>78636.363636363632</v>
      </c>
      <c r="AK27" s="304"/>
      <c r="AL27" s="304">
        <f>AJ27*AK27</f>
        <v>0</v>
      </c>
      <c r="AM27" s="304"/>
      <c r="AN27" s="304"/>
      <c r="AO27" s="304">
        <f>AM27*AN27</f>
        <v>0</v>
      </c>
      <c r="AP27" s="304"/>
      <c r="AQ27" s="304"/>
      <c r="AR27" s="304">
        <f>AP27*AQ27</f>
        <v>0</v>
      </c>
      <c r="AS27" s="306">
        <f>AI27+AL27+AO27+AR27</f>
        <v>0</v>
      </c>
      <c r="AT27" s="303">
        <f>V27+AF27-AS27</f>
        <v>2698500</v>
      </c>
      <c r="AU27" s="308"/>
      <c r="AV27" s="305"/>
      <c r="AW27" s="309">
        <v>15000</v>
      </c>
      <c r="AX27" s="305"/>
      <c r="AY27" s="304">
        <v>100000</v>
      </c>
      <c r="AZ27" s="305"/>
      <c r="BA27" s="310">
        <f>AT27-AU27-AV27-AW27-AX27-AY27-AZ27</f>
        <v>2583500</v>
      </c>
      <c r="BB27" s="308"/>
      <c r="BC27" s="305"/>
      <c r="BD27" s="309">
        <v>15000</v>
      </c>
      <c r="BE27" s="305"/>
      <c r="BF27" s="304"/>
      <c r="BG27" s="305"/>
      <c r="BH27" s="310">
        <f>AT27-BB27-BC27-BD27-BE27-BF27-BG27</f>
        <v>2683500</v>
      </c>
    </row>
    <row r="28" spans="1:60" s="311" customFormat="1" ht="16.5" customHeight="1" x14ac:dyDescent="0.25">
      <c r="A28" s="299"/>
      <c r="B28" s="366">
        <v>25</v>
      </c>
      <c r="C28" s="375" t="s">
        <v>406</v>
      </c>
      <c r="D28" s="376"/>
      <c r="E28" s="375" t="s">
        <v>460</v>
      </c>
      <c r="F28" s="304"/>
      <c r="G28" s="304"/>
      <c r="H28" s="304"/>
      <c r="I28" s="300" t="s">
        <v>426</v>
      </c>
      <c r="J28" s="304" t="s">
        <v>427</v>
      </c>
      <c r="K28" s="302">
        <f>SUM(1730000*80%)</f>
        <v>1384000</v>
      </c>
      <c r="L28" s="302">
        <v>300000</v>
      </c>
      <c r="M28" s="304"/>
      <c r="N28" s="304"/>
      <c r="O28" s="304"/>
      <c r="P28" s="302"/>
      <c r="Q28" s="305"/>
      <c r="R28" s="304">
        <v>5500</v>
      </c>
      <c r="S28" s="304">
        <v>22</v>
      </c>
      <c r="T28" s="306">
        <f>R28*S28</f>
        <v>121000</v>
      </c>
      <c r="U28" s="302"/>
      <c r="V28" s="303">
        <f>K28+L28+M28+N28+O28+P28+Q28+T28+U28</f>
        <v>1805000</v>
      </c>
      <c r="W28" s="304"/>
      <c r="X28" s="304"/>
      <c r="Y28" s="304">
        <v>12500</v>
      </c>
      <c r="Z28" s="304"/>
      <c r="AA28" s="304">
        <f>Y28*Z28</f>
        <v>0</v>
      </c>
      <c r="AB28" s="304"/>
      <c r="AC28" s="304"/>
      <c r="AD28" s="304">
        <f>AB28*AC28</f>
        <v>0</v>
      </c>
      <c r="AE28" s="303"/>
      <c r="AF28" s="303">
        <f>X28+AA28+AD28+AE28</f>
        <v>0</v>
      </c>
      <c r="AG28" s="305">
        <f t="shared" ref="AG28" si="34">R28</f>
        <v>5500</v>
      </c>
      <c r="AH28" s="304"/>
      <c r="AI28" s="306">
        <f>AG28*AH28</f>
        <v>0</v>
      </c>
      <c r="AJ28" s="307">
        <f>K28/22</f>
        <v>62909.090909090912</v>
      </c>
      <c r="AK28" s="304"/>
      <c r="AL28" s="304">
        <f>AJ28*AK28</f>
        <v>0</v>
      </c>
      <c r="AM28" s="304"/>
      <c r="AN28" s="304"/>
      <c r="AO28" s="304"/>
      <c r="AP28" s="304"/>
      <c r="AQ28" s="304"/>
      <c r="AR28" s="304"/>
      <c r="AS28" s="306">
        <f>AI28+AL28+AO28+AR28</f>
        <v>0</v>
      </c>
      <c r="AT28" s="303">
        <f>V28+AF28-AS28</f>
        <v>1805000</v>
      </c>
      <c r="AU28" s="308"/>
      <c r="AV28" s="305"/>
      <c r="AW28" s="309"/>
      <c r="AX28" s="305"/>
      <c r="AY28" s="308"/>
      <c r="AZ28" s="305"/>
      <c r="BA28" s="310"/>
      <c r="BB28" s="304"/>
      <c r="BC28" s="305"/>
      <c r="BD28" s="309">
        <v>15000</v>
      </c>
      <c r="BE28" s="305"/>
      <c r="BF28" s="304">
        <v>100000</v>
      </c>
      <c r="BG28" s="305"/>
      <c r="BH28" s="310">
        <f>AT28-BB28-BC28-BD28-BE28-BF28-BG28</f>
        <v>1690000</v>
      </c>
    </row>
    <row r="29" spans="1:60" s="311" customFormat="1" ht="15" x14ac:dyDescent="0.25">
      <c r="A29" s="299"/>
      <c r="B29" s="366">
        <v>26</v>
      </c>
      <c r="C29" s="375" t="s">
        <v>376</v>
      </c>
      <c r="D29" s="385" t="s">
        <v>183</v>
      </c>
      <c r="E29" s="375" t="s">
        <v>461</v>
      </c>
      <c r="F29" s="304"/>
      <c r="G29" s="304"/>
      <c r="H29" s="304"/>
      <c r="I29" s="300" t="s">
        <v>286</v>
      </c>
      <c r="J29" s="304" t="s">
        <v>293</v>
      </c>
      <c r="K29" s="369">
        <f t="shared" ref="K29" si="35">SUM(1730000*100%)</f>
        <v>1730000</v>
      </c>
      <c r="L29" s="301">
        <v>500000</v>
      </c>
      <c r="M29" s="304">
        <v>50000</v>
      </c>
      <c r="N29" s="302">
        <f>K29*5/100</f>
        <v>86500</v>
      </c>
      <c r="O29" s="302">
        <f>K29*2/100</f>
        <v>34600</v>
      </c>
      <c r="P29" s="369">
        <f t="shared" si="29"/>
        <v>32500</v>
      </c>
      <c r="Q29" s="304"/>
      <c r="R29" s="304">
        <v>13000</v>
      </c>
      <c r="S29" s="304">
        <v>22</v>
      </c>
      <c r="T29" s="306">
        <f t="shared" ref="T29" si="36">R29*S29</f>
        <v>286000</v>
      </c>
      <c r="U29" s="302"/>
      <c r="V29" s="303">
        <f>K29+L29+M29+N29+O29+P29+Q29+T29+U29</f>
        <v>2719600</v>
      </c>
      <c r="W29" s="304"/>
      <c r="X29" s="305"/>
      <c r="Y29" s="304">
        <v>12500</v>
      </c>
      <c r="Z29" s="304"/>
      <c r="AA29" s="304">
        <f>Y29*Z29</f>
        <v>0</v>
      </c>
      <c r="AB29" s="304"/>
      <c r="AC29" s="304"/>
      <c r="AD29" s="304">
        <f>AB29*AC29</f>
        <v>0</v>
      </c>
      <c r="AE29" s="303"/>
      <c r="AF29" s="303">
        <f>X29+AA29+AD29+AE29</f>
        <v>0</v>
      </c>
      <c r="AG29" s="305">
        <f t="shared" ref="AG29" si="37">R29</f>
        <v>13000</v>
      </c>
      <c r="AH29" s="304"/>
      <c r="AI29" s="306">
        <f>AG29*AH29</f>
        <v>0</v>
      </c>
      <c r="AJ29" s="307">
        <f t="shared" ref="AJ29" si="38">K29/22</f>
        <v>78636.363636363632</v>
      </c>
      <c r="AK29" s="304"/>
      <c r="AL29" s="304">
        <f>AJ29*AK29</f>
        <v>0</v>
      </c>
      <c r="AM29" s="304"/>
      <c r="AN29" s="304"/>
      <c r="AO29" s="304">
        <f t="shared" ref="AO29" si="39">AM29*AN29</f>
        <v>0</v>
      </c>
      <c r="AP29" s="304"/>
      <c r="AQ29" s="304"/>
      <c r="AR29" s="304">
        <f t="shared" ref="AR29" si="40">AP29*AQ29</f>
        <v>0</v>
      </c>
      <c r="AS29" s="306">
        <f>AI29+AL29+AO29+AR29</f>
        <v>0</v>
      </c>
      <c r="AT29" s="303">
        <f>V29+AF29-AS29</f>
        <v>2719600</v>
      </c>
      <c r="AU29" s="304"/>
      <c r="AV29" s="305"/>
      <c r="AW29" s="309">
        <v>15000</v>
      </c>
      <c r="AX29" s="305"/>
      <c r="AY29" s="308"/>
      <c r="AZ29" s="305"/>
      <c r="BA29" s="310">
        <f t="shared" ref="BA29" si="41">AT29-AU29-AV29-AW29-AX29-AY29-AZ29</f>
        <v>2704600</v>
      </c>
      <c r="BB29" s="304"/>
      <c r="BC29" s="305"/>
      <c r="BD29" s="309">
        <v>15000</v>
      </c>
      <c r="BE29" s="304"/>
      <c r="BF29" s="308">
        <v>200000</v>
      </c>
      <c r="BG29" s="305"/>
      <c r="BH29" s="310">
        <f>AT29-BB29-BC29-BD29-BE29-BF29-BG29</f>
        <v>2504600</v>
      </c>
    </row>
    <row r="30" spans="1:60" s="311" customFormat="1" ht="19.5" customHeight="1" x14ac:dyDescent="0.25">
      <c r="A30" s="299">
        <v>23</v>
      </c>
      <c r="B30" s="366">
        <v>27</v>
      </c>
      <c r="C30" s="375" t="s">
        <v>385</v>
      </c>
      <c r="D30" s="376" t="s">
        <v>169</v>
      </c>
      <c r="E30" s="375" t="s">
        <v>462</v>
      </c>
      <c r="F30" s="304"/>
      <c r="G30" s="304"/>
      <c r="H30" s="304"/>
      <c r="I30" s="384" t="s">
        <v>449</v>
      </c>
      <c r="J30" s="304" t="s">
        <v>291</v>
      </c>
      <c r="K30" s="302">
        <f>SUM(1730000*80%)</f>
        <v>1384000</v>
      </c>
      <c r="L30" s="301">
        <v>300000</v>
      </c>
      <c r="M30" s="308"/>
      <c r="N30" s="302"/>
      <c r="O30" s="302"/>
      <c r="P30" s="302"/>
      <c r="Q30" s="304"/>
      <c r="R30" s="304">
        <v>13000</v>
      </c>
      <c r="S30" s="304">
        <v>22</v>
      </c>
      <c r="T30" s="306">
        <f>R30*S30</f>
        <v>286000</v>
      </c>
      <c r="U30" s="302"/>
      <c r="V30" s="303">
        <f>K30+L30+M30+N30+O30+P30+Q30+T30+U30</f>
        <v>1970000</v>
      </c>
      <c r="W30" s="304"/>
      <c r="X30" s="304"/>
      <c r="Y30" s="304">
        <v>12500</v>
      </c>
      <c r="Z30" s="304"/>
      <c r="AA30" s="304">
        <f>Y30*Z30</f>
        <v>0</v>
      </c>
      <c r="AB30" s="304"/>
      <c r="AC30" s="304"/>
      <c r="AD30" s="304">
        <f>AB30*AC30</f>
        <v>0</v>
      </c>
      <c r="AE30" s="303"/>
      <c r="AF30" s="303">
        <f>X30+AA30+AD30+AE30</f>
        <v>0</v>
      </c>
      <c r="AG30" s="305">
        <f>R30</f>
        <v>13000</v>
      </c>
      <c r="AH30" s="304"/>
      <c r="AI30" s="306">
        <f>AG30*AH30</f>
        <v>0</v>
      </c>
      <c r="AJ30" s="307">
        <f>K30/22</f>
        <v>62909.090909090912</v>
      </c>
      <c r="AK30" s="304"/>
      <c r="AL30" s="304">
        <f>AJ30*AK30</f>
        <v>0</v>
      </c>
      <c r="AM30" s="304"/>
      <c r="AN30" s="304"/>
      <c r="AO30" s="304">
        <f>AM30*AN30</f>
        <v>0</v>
      </c>
      <c r="AP30" s="304"/>
      <c r="AQ30" s="304"/>
      <c r="AR30" s="304">
        <f>AP30*AQ30</f>
        <v>0</v>
      </c>
      <c r="AS30" s="306">
        <f>AI30+AL30+AO30+AR30</f>
        <v>0</v>
      </c>
      <c r="AT30" s="303">
        <f>V30+AF30-AS30</f>
        <v>1970000</v>
      </c>
      <c r="AU30" s="304"/>
      <c r="AV30" s="305"/>
      <c r="AW30" s="309">
        <v>15000</v>
      </c>
      <c r="AX30" s="305">
        <f>22726*2</f>
        <v>45452</v>
      </c>
      <c r="AY30" s="308">
        <v>200000</v>
      </c>
      <c r="AZ30" s="305"/>
      <c r="BA30" s="310">
        <f>AT30-AU30-AV30-AW30-AX30-AY30-AZ30</f>
        <v>1709548</v>
      </c>
      <c r="BB30" s="304"/>
      <c r="BC30" s="305"/>
      <c r="BD30" s="309">
        <v>15000</v>
      </c>
      <c r="BE30" s="305">
        <f>24509*2</f>
        <v>49018</v>
      </c>
      <c r="BF30" s="308"/>
      <c r="BG30" s="305"/>
      <c r="BH30" s="310">
        <f>AT30-BB30-BC30-BD30-BE30-BF30-BG30</f>
        <v>1905982</v>
      </c>
    </row>
    <row r="31" spans="1:60" s="311" customFormat="1" ht="15" x14ac:dyDescent="0.25">
      <c r="A31" s="299">
        <v>20</v>
      </c>
      <c r="B31" s="366">
        <v>28</v>
      </c>
      <c r="C31" s="375" t="s">
        <v>384</v>
      </c>
      <c r="D31" s="388" t="s">
        <v>163</v>
      </c>
      <c r="E31" s="375" t="s">
        <v>463</v>
      </c>
      <c r="F31" s="304"/>
      <c r="G31" s="304"/>
      <c r="H31" s="304"/>
      <c r="I31" s="389" t="s">
        <v>465</v>
      </c>
      <c r="J31" s="304" t="s">
        <v>297</v>
      </c>
      <c r="K31" s="302">
        <f t="shared" ref="K31" si="42">SUM(1730000*100%)</f>
        <v>1730000</v>
      </c>
      <c r="L31" s="301">
        <v>600000</v>
      </c>
      <c r="M31" s="302">
        <v>50000</v>
      </c>
      <c r="N31" s="302">
        <f>K31*5/100</f>
        <v>86500</v>
      </c>
      <c r="O31" s="302">
        <f>K31*2/100</f>
        <v>34600</v>
      </c>
      <c r="P31" s="369">
        <f t="shared" si="29"/>
        <v>32500</v>
      </c>
      <c r="Q31" s="304"/>
      <c r="R31" s="304">
        <v>7300</v>
      </c>
      <c r="S31" s="304">
        <v>22</v>
      </c>
      <c r="T31" s="306">
        <f t="shared" si="32"/>
        <v>160600</v>
      </c>
      <c r="U31" s="304"/>
      <c r="V31" s="303">
        <f t="shared" si="0"/>
        <v>2694200</v>
      </c>
      <c r="W31" s="304"/>
      <c r="X31" s="304"/>
      <c r="Y31" s="304">
        <v>12500</v>
      </c>
      <c r="Z31" s="304"/>
      <c r="AA31" s="304">
        <f t="shared" si="2"/>
        <v>0</v>
      </c>
      <c r="AB31" s="304"/>
      <c r="AC31" s="304"/>
      <c r="AD31" s="304">
        <f t="shared" si="3"/>
        <v>0</v>
      </c>
      <c r="AE31" s="303"/>
      <c r="AF31" s="303">
        <f t="shared" si="4"/>
        <v>0</v>
      </c>
      <c r="AG31" s="305">
        <f t="shared" si="5"/>
        <v>7300</v>
      </c>
      <c r="AH31" s="304"/>
      <c r="AI31" s="306">
        <f t="shared" si="6"/>
        <v>0</v>
      </c>
      <c r="AJ31" s="307">
        <f t="shared" si="31"/>
        <v>78636.363636363632</v>
      </c>
      <c r="AK31" s="304"/>
      <c r="AL31" s="304">
        <f t="shared" si="7"/>
        <v>0</v>
      </c>
      <c r="AM31" s="304"/>
      <c r="AN31" s="304"/>
      <c r="AO31" s="304">
        <f t="shared" si="8"/>
        <v>0</v>
      </c>
      <c r="AP31" s="304"/>
      <c r="AQ31" s="304"/>
      <c r="AR31" s="304">
        <f t="shared" si="9"/>
        <v>0</v>
      </c>
      <c r="AS31" s="306">
        <f t="shared" si="10"/>
        <v>0</v>
      </c>
      <c r="AT31" s="303">
        <f t="shared" si="11"/>
        <v>2694200</v>
      </c>
      <c r="AU31" s="308">
        <v>600000</v>
      </c>
      <c r="AV31" s="305"/>
      <c r="AW31" s="309">
        <v>15000</v>
      </c>
      <c r="AX31" s="305">
        <f>22726*2+68178</f>
        <v>113630</v>
      </c>
      <c r="AY31" s="308">
        <v>300000</v>
      </c>
      <c r="AZ31" s="305"/>
      <c r="BA31" s="310">
        <f t="shared" si="12"/>
        <v>1665570</v>
      </c>
      <c r="BB31" s="308">
        <v>600000</v>
      </c>
      <c r="BC31" s="305"/>
      <c r="BD31" s="309">
        <v>15000</v>
      </c>
      <c r="BE31" s="305">
        <f>24509*2+68178</f>
        <v>117196</v>
      </c>
      <c r="BF31" s="308">
        <v>300000</v>
      </c>
      <c r="BG31" s="305"/>
      <c r="BH31" s="310">
        <f t="shared" si="13"/>
        <v>1662004</v>
      </c>
    </row>
    <row r="32" spans="1:60" s="311" customFormat="1" ht="15" x14ac:dyDescent="0.25">
      <c r="A32" s="299">
        <v>18</v>
      </c>
      <c r="B32" s="366">
        <v>29</v>
      </c>
      <c r="C32" s="375" t="s">
        <v>388</v>
      </c>
      <c r="D32" s="385" t="s">
        <v>181</v>
      </c>
      <c r="E32" s="375" t="s">
        <v>412</v>
      </c>
      <c r="F32" s="304"/>
      <c r="G32" s="304"/>
      <c r="H32" s="304"/>
      <c r="I32" s="300" t="s">
        <v>286</v>
      </c>
      <c r="J32" s="304" t="s">
        <v>293</v>
      </c>
      <c r="K32" s="369">
        <f t="shared" si="33"/>
        <v>1730000</v>
      </c>
      <c r="L32" s="301">
        <v>600000</v>
      </c>
      <c r="M32" s="304">
        <v>50000</v>
      </c>
      <c r="N32" s="302">
        <f>K32*5/100</f>
        <v>86500</v>
      </c>
      <c r="O32" s="302">
        <f>K32*2/100</f>
        <v>34600</v>
      </c>
      <c r="P32" s="369">
        <f t="shared" si="29"/>
        <v>32500</v>
      </c>
      <c r="Q32" s="304"/>
      <c r="R32" s="304">
        <v>3700</v>
      </c>
      <c r="S32" s="304">
        <v>22</v>
      </c>
      <c r="T32" s="306">
        <f t="shared" ref="T32:T46" si="43">R32*S32</f>
        <v>81400</v>
      </c>
      <c r="U32" s="302"/>
      <c r="V32" s="303">
        <f t="shared" ref="V32:V46" si="44">K32+L32+M32+N32+O32+P32+Q32+T32+U32</f>
        <v>2615000</v>
      </c>
      <c r="W32" s="304"/>
      <c r="X32" s="304"/>
      <c r="Y32" s="304">
        <v>12500</v>
      </c>
      <c r="Z32" s="304"/>
      <c r="AA32" s="304">
        <f t="shared" ref="AA32:AA46" si="45">Y32*Z32</f>
        <v>0</v>
      </c>
      <c r="AB32" s="304"/>
      <c r="AC32" s="304"/>
      <c r="AD32" s="304">
        <f t="shared" ref="AD32:AD46" si="46">AB32*AC32</f>
        <v>0</v>
      </c>
      <c r="AE32" s="303"/>
      <c r="AF32" s="303">
        <f t="shared" ref="AF32:AF46" si="47">X32+AA32+AD32+AE32</f>
        <v>0</v>
      </c>
      <c r="AG32" s="305">
        <f t="shared" ref="AG32:AG46" si="48">R32</f>
        <v>3700</v>
      </c>
      <c r="AH32" s="304"/>
      <c r="AI32" s="306">
        <f t="shared" ref="AI32:AI46" si="49">AG32*AH32</f>
        <v>0</v>
      </c>
      <c r="AJ32" s="307">
        <f>K32/22</f>
        <v>78636.363636363632</v>
      </c>
      <c r="AK32" s="304"/>
      <c r="AL32" s="304">
        <f t="shared" ref="AL32:AL46" si="50">AJ32*AK32</f>
        <v>0</v>
      </c>
      <c r="AM32" s="304"/>
      <c r="AN32" s="304"/>
      <c r="AO32" s="304">
        <f>AM32*AN32</f>
        <v>0</v>
      </c>
      <c r="AP32" s="304"/>
      <c r="AQ32" s="304"/>
      <c r="AR32" s="304">
        <f>AP32*AQ32</f>
        <v>0</v>
      </c>
      <c r="AS32" s="306">
        <f t="shared" ref="AS32:AS46" si="51">AI32+AL32+AO32+AR32</f>
        <v>0</v>
      </c>
      <c r="AT32" s="303">
        <f t="shared" ref="AT32:AT46" si="52">V32+AF32-AS32</f>
        <v>2615000</v>
      </c>
      <c r="AU32" s="304"/>
      <c r="AV32" s="305"/>
      <c r="AW32" s="309">
        <v>15000</v>
      </c>
      <c r="AX32" s="305"/>
      <c r="AY32" s="308">
        <v>200000</v>
      </c>
      <c r="AZ32" s="305"/>
      <c r="BA32" s="310">
        <f>AT32-AU32-AV32-AW32-AX32-AY32-AZ32</f>
        <v>2400000</v>
      </c>
      <c r="BB32" s="304"/>
      <c r="BC32" s="305"/>
      <c r="BD32" s="309">
        <v>15000</v>
      </c>
      <c r="BE32" s="305"/>
      <c r="BF32" s="308"/>
      <c r="BG32" s="305"/>
      <c r="BH32" s="310">
        <f t="shared" ref="BH32:BH46" si="53">AT32-BB32-BC32-BD32-BE32-BF32-BG32</f>
        <v>2600000</v>
      </c>
    </row>
    <row r="33" spans="1:60" s="311" customFormat="1" ht="15.6" customHeight="1" x14ac:dyDescent="0.25">
      <c r="A33" s="299">
        <v>16</v>
      </c>
      <c r="B33" s="366">
        <v>30</v>
      </c>
      <c r="C33" s="375" t="s">
        <v>389</v>
      </c>
      <c r="D33" s="376" t="s">
        <v>171</v>
      </c>
      <c r="E33" s="375" t="s">
        <v>413</v>
      </c>
      <c r="F33" s="304"/>
      <c r="G33" s="304"/>
      <c r="H33" s="304"/>
      <c r="I33" s="300">
        <v>42569</v>
      </c>
      <c r="J33" s="304" t="s">
        <v>300</v>
      </c>
      <c r="K33" s="302">
        <f>SUM(1730000*100%)</f>
        <v>1730000</v>
      </c>
      <c r="L33" s="301">
        <v>600000</v>
      </c>
      <c r="M33" s="390">
        <v>100000</v>
      </c>
      <c r="N33" s="302">
        <f>K33*5/100</f>
        <v>86500</v>
      </c>
      <c r="O33" s="391">
        <f>K33*2/100</f>
        <v>34600</v>
      </c>
      <c r="P33" s="302">
        <f>6500*5</f>
        <v>32500</v>
      </c>
      <c r="Q33" s="304">
        <v>0</v>
      </c>
      <c r="R33" s="304">
        <v>3700</v>
      </c>
      <c r="S33" s="304">
        <v>22</v>
      </c>
      <c r="T33" s="306">
        <f t="shared" si="43"/>
        <v>81400</v>
      </c>
      <c r="U33" s="302"/>
      <c r="V33" s="303">
        <f t="shared" si="44"/>
        <v>2665000</v>
      </c>
      <c r="W33" s="304"/>
      <c r="X33" s="304"/>
      <c r="Y33" s="304">
        <v>12500</v>
      </c>
      <c r="Z33" s="304"/>
      <c r="AA33" s="304">
        <f t="shared" si="45"/>
        <v>0</v>
      </c>
      <c r="AB33" s="304"/>
      <c r="AC33" s="304"/>
      <c r="AD33" s="304">
        <f t="shared" si="46"/>
        <v>0</v>
      </c>
      <c r="AE33" s="303"/>
      <c r="AF33" s="303">
        <f t="shared" si="47"/>
        <v>0</v>
      </c>
      <c r="AG33" s="305">
        <f t="shared" si="48"/>
        <v>3700</v>
      </c>
      <c r="AH33" s="304"/>
      <c r="AI33" s="306">
        <f t="shared" si="49"/>
        <v>0</v>
      </c>
      <c r="AJ33" s="307">
        <f>K33/22</f>
        <v>78636.363636363632</v>
      </c>
      <c r="AK33" s="304"/>
      <c r="AL33" s="304">
        <f t="shared" si="50"/>
        <v>0</v>
      </c>
      <c r="AM33" s="304"/>
      <c r="AN33" s="304"/>
      <c r="AO33" s="304">
        <f>AM33*AN33</f>
        <v>0</v>
      </c>
      <c r="AP33" s="304"/>
      <c r="AQ33" s="304"/>
      <c r="AR33" s="304">
        <f>AP33*AQ33</f>
        <v>0</v>
      </c>
      <c r="AS33" s="306">
        <f t="shared" si="51"/>
        <v>0</v>
      </c>
      <c r="AT33" s="303">
        <f t="shared" si="52"/>
        <v>2665000</v>
      </c>
      <c r="AU33" s="305">
        <v>100000</v>
      </c>
      <c r="AV33" s="305">
        <v>1053500</v>
      </c>
      <c r="AW33" s="309">
        <v>15000</v>
      </c>
      <c r="AX33" s="305">
        <f>22726*3+68178</f>
        <v>136356</v>
      </c>
      <c r="AY33" s="308"/>
      <c r="AZ33" s="305"/>
      <c r="BA33" s="310">
        <f>AT33-AU33-AV33-AW33-AX33-AY33-AZ33</f>
        <v>1360144</v>
      </c>
      <c r="BB33" s="305">
        <v>100000</v>
      </c>
      <c r="BC33" s="305">
        <v>1053500</v>
      </c>
      <c r="BD33" s="309">
        <v>15000</v>
      </c>
      <c r="BE33" s="305">
        <f>24509*3+68178</f>
        <v>141705</v>
      </c>
      <c r="BF33" s="308">
        <v>200000</v>
      </c>
      <c r="BG33" s="305">
        <v>325000</v>
      </c>
      <c r="BH33" s="310">
        <f t="shared" si="53"/>
        <v>829795</v>
      </c>
    </row>
    <row r="34" spans="1:60" s="311" customFormat="1" ht="15" x14ac:dyDescent="0.25">
      <c r="A34" s="299"/>
      <c r="B34" s="366">
        <v>31</v>
      </c>
      <c r="C34" s="375" t="s">
        <v>393</v>
      </c>
      <c r="D34" s="385" t="s">
        <v>182</v>
      </c>
      <c r="E34" s="375" t="s">
        <v>464</v>
      </c>
      <c r="F34" s="304"/>
      <c r="G34" s="304"/>
      <c r="H34" s="304"/>
      <c r="I34" s="300" t="s">
        <v>286</v>
      </c>
      <c r="J34" s="304" t="s">
        <v>293</v>
      </c>
      <c r="K34" s="302">
        <f t="shared" ref="K34:K39" si="54">SUM(1730000*100%)</f>
        <v>1730000</v>
      </c>
      <c r="L34" s="301">
        <v>600000</v>
      </c>
      <c r="M34" s="304">
        <v>50000</v>
      </c>
      <c r="N34" s="302">
        <f>K34*5/100</f>
        <v>86500</v>
      </c>
      <c r="O34" s="391">
        <f>K34*2/100</f>
        <v>34600</v>
      </c>
      <c r="P34" s="302">
        <f>6500*5</f>
        <v>32500</v>
      </c>
      <c r="Q34" s="304"/>
      <c r="R34" s="304">
        <v>13000</v>
      </c>
      <c r="S34" s="304">
        <v>22</v>
      </c>
      <c r="T34" s="306">
        <f t="shared" si="43"/>
        <v>286000</v>
      </c>
      <c r="U34" s="304"/>
      <c r="V34" s="303">
        <f t="shared" si="44"/>
        <v>2819600</v>
      </c>
      <c r="W34" s="304"/>
      <c r="X34" s="304"/>
      <c r="Y34" s="304">
        <v>12500</v>
      </c>
      <c r="Z34" s="304"/>
      <c r="AA34" s="304">
        <f t="shared" si="45"/>
        <v>0</v>
      </c>
      <c r="AB34" s="304"/>
      <c r="AC34" s="304"/>
      <c r="AD34" s="304">
        <f t="shared" si="46"/>
        <v>0</v>
      </c>
      <c r="AE34" s="303"/>
      <c r="AF34" s="303">
        <f t="shared" si="47"/>
        <v>0</v>
      </c>
      <c r="AG34" s="305">
        <f t="shared" si="48"/>
        <v>13000</v>
      </c>
      <c r="AH34" s="304"/>
      <c r="AI34" s="306">
        <f t="shared" si="49"/>
        <v>0</v>
      </c>
      <c r="AJ34" s="307"/>
      <c r="AK34" s="304"/>
      <c r="AL34" s="304">
        <f t="shared" si="50"/>
        <v>0</v>
      </c>
      <c r="AM34" s="304"/>
      <c r="AN34" s="304"/>
      <c r="AO34" s="304">
        <f>AM34*AN34</f>
        <v>0</v>
      </c>
      <c r="AP34" s="304"/>
      <c r="AQ34" s="304"/>
      <c r="AR34" s="304">
        <f>AP34*AQ34</f>
        <v>0</v>
      </c>
      <c r="AS34" s="306">
        <f t="shared" si="51"/>
        <v>0</v>
      </c>
      <c r="AT34" s="303">
        <f t="shared" si="52"/>
        <v>2819600</v>
      </c>
      <c r="AU34" s="304"/>
      <c r="AV34" s="305"/>
      <c r="AW34" s="309">
        <v>15000</v>
      </c>
      <c r="AX34" s="305"/>
      <c r="AY34" s="305"/>
      <c r="AZ34" s="305"/>
      <c r="BA34" s="310">
        <f>AT34-AU34-AV34-AW34-AX34-AY34-AZ34</f>
        <v>2804600</v>
      </c>
      <c r="BB34" s="304"/>
      <c r="BC34" s="305"/>
      <c r="BD34" s="309">
        <v>15000</v>
      </c>
      <c r="BE34" s="305"/>
      <c r="BF34" s="305"/>
      <c r="BG34" s="305"/>
      <c r="BH34" s="310">
        <f t="shared" si="53"/>
        <v>2804600</v>
      </c>
    </row>
    <row r="35" spans="1:60" s="311" customFormat="1" ht="15" x14ac:dyDescent="0.25">
      <c r="A35" s="299"/>
      <c r="B35" s="366">
        <v>32</v>
      </c>
      <c r="C35" s="375" t="s">
        <v>391</v>
      </c>
      <c r="D35" s="378" t="s">
        <v>162</v>
      </c>
      <c r="E35" s="375" t="s">
        <v>414</v>
      </c>
      <c r="F35" s="304"/>
      <c r="G35" s="304"/>
      <c r="H35" s="304"/>
      <c r="I35" s="300">
        <v>41470</v>
      </c>
      <c r="J35" s="304" t="s">
        <v>295</v>
      </c>
      <c r="K35" s="302">
        <f>SUM(1830000*100%)</f>
        <v>1830000</v>
      </c>
      <c r="L35" s="301">
        <v>600000</v>
      </c>
      <c r="M35" s="302">
        <v>100000</v>
      </c>
      <c r="N35" s="302">
        <f>K35*5/100</f>
        <v>91500</v>
      </c>
      <c r="O35" s="302">
        <f>K35*2*2/100</f>
        <v>73200</v>
      </c>
      <c r="P35" s="302">
        <f>6500*5</f>
        <v>32500</v>
      </c>
      <c r="Q35" s="304"/>
      <c r="R35" s="304">
        <v>13000</v>
      </c>
      <c r="S35" s="304">
        <v>22</v>
      </c>
      <c r="T35" s="306">
        <f t="shared" si="43"/>
        <v>286000</v>
      </c>
      <c r="U35" s="302">
        <v>0</v>
      </c>
      <c r="V35" s="303">
        <f t="shared" si="44"/>
        <v>3013200</v>
      </c>
      <c r="W35" s="304"/>
      <c r="X35" s="304"/>
      <c r="Y35" s="304">
        <v>12500</v>
      </c>
      <c r="Z35" s="304"/>
      <c r="AA35" s="304">
        <f t="shared" si="45"/>
        <v>0</v>
      </c>
      <c r="AB35" s="304"/>
      <c r="AC35" s="304"/>
      <c r="AD35" s="304">
        <f t="shared" si="46"/>
        <v>0</v>
      </c>
      <c r="AE35" s="303"/>
      <c r="AF35" s="303">
        <f t="shared" si="47"/>
        <v>0</v>
      </c>
      <c r="AG35" s="305">
        <f t="shared" si="48"/>
        <v>13000</v>
      </c>
      <c r="AH35" s="304"/>
      <c r="AI35" s="306">
        <f t="shared" si="49"/>
        <v>0</v>
      </c>
      <c r="AJ35" s="307"/>
      <c r="AK35" s="304"/>
      <c r="AL35" s="304">
        <f t="shared" si="50"/>
        <v>0</v>
      </c>
      <c r="AM35" s="304"/>
      <c r="AN35" s="304"/>
      <c r="AO35" s="304">
        <f>AM35*AN35</f>
        <v>0</v>
      </c>
      <c r="AP35" s="304"/>
      <c r="AQ35" s="304"/>
      <c r="AR35" s="304">
        <f>AP35*AQ35</f>
        <v>0</v>
      </c>
      <c r="AS35" s="306">
        <f t="shared" si="51"/>
        <v>0</v>
      </c>
      <c r="AT35" s="303">
        <f t="shared" si="52"/>
        <v>3013200</v>
      </c>
      <c r="AU35" s="308">
        <v>200000</v>
      </c>
      <c r="AV35" s="305">
        <v>1335000</v>
      </c>
      <c r="AW35" s="309">
        <v>15000</v>
      </c>
      <c r="AX35" s="305">
        <f>22726+68178</f>
        <v>90904</v>
      </c>
      <c r="AY35" s="308">
        <v>300000</v>
      </c>
      <c r="AZ35" s="305">
        <f>220000</f>
        <v>220000</v>
      </c>
      <c r="BA35" s="310">
        <f>AT35-AU35-AV35-AW35-AX35-AY35-AZ35</f>
        <v>852296</v>
      </c>
      <c r="BB35" s="308">
        <v>200000</v>
      </c>
      <c r="BC35" s="305">
        <v>1335000</v>
      </c>
      <c r="BD35" s="309">
        <v>15000</v>
      </c>
      <c r="BE35" s="305">
        <f>24509+68178</f>
        <v>92687</v>
      </c>
      <c r="BF35" s="308">
        <v>300000</v>
      </c>
      <c r="BG35" s="305">
        <f>220000</f>
        <v>220000</v>
      </c>
      <c r="BH35" s="310">
        <f t="shared" si="53"/>
        <v>850513</v>
      </c>
    </row>
    <row r="36" spans="1:60" s="311" customFormat="1" ht="16.5" customHeight="1" x14ac:dyDescent="0.25">
      <c r="A36" s="299"/>
      <c r="B36" s="366">
        <v>33</v>
      </c>
      <c r="C36" s="379" t="s">
        <v>443</v>
      </c>
      <c r="D36" s="376"/>
      <c r="E36" s="380" t="s">
        <v>447</v>
      </c>
      <c r="F36" s="304"/>
      <c r="G36" s="304"/>
      <c r="H36" s="304"/>
      <c r="I36" s="300">
        <v>45501</v>
      </c>
      <c r="J36" s="304"/>
      <c r="K36" s="302">
        <f t="shared" ref="K36" si="55">SUM(1730000*80%)</f>
        <v>1384000</v>
      </c>
      <c r="L36" s="302">
        <v>600000</v>
      </c>
      <c r="M36" s="304"/>
      <c r="N36" s="304"/>
      <c r="O36" s="304"/>
      <c r="P36" s="302"/>
      <c r="Q36" s="305"/>
      <c r="R36" s="377">
        <v>13000</v>
      </c>
      <c r="S36" s="304">
        <v>22</v>
      </c>
      <c r="T36" s="306">
        <f t="shared" si="43"/>
        <v>286000</v>
      </c>
      <c r="U36" s="302"/>
      <c r="V36" s="303">
        <f t="shared" si="44"/>
        <v>2270000</v>
      </c>
      <c r="W36" s="304"/>
      <c r="X36" s="304"/>
      <c r="Y36" s="304">
        <v>12500</v>
      </c>
      <c r="Z36" s="304"/>
      <c r="AA36" s="304">
        <f t="shared" si="45"/>
        <v>0</v>
      </c>
      <c r="AB36" s="304"/>
      <c r="AC36" s="304"/>
      <c r="AD36" s="304">
        <f t="shared" si="46"/>
        <v>0</v>
      </c>
      <c r="AE36" s="303"/>
      <c r="AF36" s="303">
        <f t="shared" si="47"/>
        <v>0</v>
      </c>
      <c r="AG36" s="305">
        <f t="shared" si="48"/>
        <v>13000</v>
      </c>
      <c r="AH36" s="304"/>
      <c r="AI36" s="306">
        <f t="shared" si="49"/>
        <v>0</v>
      </c>
      <c r="AJ36" s="307">
        <f t="shared" ref="AJ36:AJ46" si="56">K36/22</f>
        <v>62909.090909090912</v>
      </c>
      <c r="AK36" s="304"/>
      <c r="AL36" s="304">
        <f t="shared" si="50"/>
        <v>0</v>
      </c>
      <c r="AM36" s="304"/>
      <c r="AN36" s="304"/>
      <c r="AO36" s="304"/>
      <c r="AP36" s="304"/>
      <c r="AQ36" s="304"/>
      <c r="AR36" s="304"/>
      <c r="AS36" s="306">
        <f t="shared" si="51"/>
        <v>0</v>
      </c>
      <c r="AT36" s="303">
        <f t="shared" si="52"/>
        <v>2270000</v>
      </c>
      <c r="AU36" s="308"/>
      <c r="AV36" s="305"/>
      <c r="AW36" s="309"/>
      <c r="AX36" s="305"/>
      <c r="AY36" s="308"/>
      <c r="AZ36" s="305"/>
      <c r="BA36" s="310"/>
      <c r="BB36" s="304"/>
      <c r="BC36" s="305"/>
      <c r="BD36" s="309">
        <v>15000</v>
      </c>
      <c r="BE36" s="305"/>
      <c r="BF36" s="304"/>
      <c r="BG36" s="305"/>
      <c r="BH36" s="310">
        <f t="shared" si="53"/>
        <v>2255000</v>
      </c>
    </row>
    <row r="37" spans="1:60" s="311" customFormat="1" ht="18" customHeight="1" x14ac:dyDescent="0.25">
      <c r="A37" s="299"/>
      <c r="B37" s="366">
        <v>34</v>
      </c>
      <c r="C37" s="375" t="s">
        <v>392</v>
      </c>
      <c r="D37" s="381" t="s">
        <v>178</v>
      </c>
      <c r="E37" s="375" t="s">
        <v>415</v>
      </c>
      <c r="F37" s="304"/>
      <c r="G37" s="304"/>
      <c r="H37" s="304"/>
      <c r="I37" s="382" t="s">
        <v>281</v>
      </c>
      <c r="J37" s="304" t="s">
        <v>292</v>
      </c>
      <c r="K37" s="302">
        <f t="shared" si="54"/>
        <v>1730000</v>
      </c>
      <c r="L37" s="301">
        <v>600000</v>
      </c>
      <c r="M37" s="304">
        <v>50000</v>
      </c>
      <c r="N37" s="302">
        <f>K37*5/100</f>
        <v>86500</v>
      </c>
      <c r="O37" s="511"/>
      <c r="P37" s="302">
        <f>6500*5</f>
        <v>32500</v>
      </c>
      <c r="Q37" s="304"/>
      <c r="R37" s="304">
        <v>13000</v>
      </c>
      <c r="S37" s="304">
        <v>22</v>
      </c>
      <c r="T37" s="306">
        <f t="shared" si="43"/>
        <v>286000</v>
      </c>
      <c r="U37" s="304"/>
      <c r="V37" s="303">
        <f t="shared" si="44"/>
        <v>2785000</v>
      </c>
      <c r="W37" s="304"/>
      <c r="X37" s="304"/>
      <c r="Y37" s="304">
        <v>12500</v>
      </c>
      <c r="Z37" s="304"/>
      <c r="AA37" s="304">
        <f t="shared" si="45"/>
        <v>0</v>
      </c>
      <c r="AB37" s="304"/>
      <c r="AC37" s="304"/>
      <c r="AD37" s="304">
        <f t="shared" si="46"/>
        <v>0</v>
      </c>
      <c r="AE37" s="303"/>
      <c r="AF37" s="303">
        <f t="shared" si="47"/>
        <v>0</v>
      </c>
      <c r="AG37" s="305">
        <f t="shared" si="48"/>
        <v>13000</v>
      </c>
      <c r="AH37" s="304"/>
      <c r="AI37" s="306">
        <f t="shared" si="49"/>
        <v>0</v>
      </c>
      <c r="AJ37" s="307">
        <f t="shared" si="56"/>
        <v>78636.363636363632</v>
      </c>
      <c r="AK37" s="304"/>
      <c r="AL37" s="304">
        <f t="shared" si="50"/>
        <v>0</v>
      </c>
      <c r="AM37" s="304"/>
      <c r="AN37" s="304"/>
      <c r="AO37" s="304">
        <f t="shared" ref="AO37:AO46" si="57">AM37*AN37</f>
        <v>0</v>
      </c>
      <c r="AP37" s="304"/>
      <c r="AQ37" s="304"/>
      <c r="AR37" s="304">
        <f t="shared" ref="AR37:AR46" si="58">AP37*AQ37</f>
        <v>0</v>
      </c>
      <c r="AS37" s="306">
        <f t="shared" si="51"/>
        <v>0</v>
      </c>
      <c r="AT37" s="303">
        <f t="shared" si="52"/>
        <v>2785000</v>
      </c>
      <c r="AU37" s="308">
        <v>100000</v>
      </c>
      <c r="AV37" s="305"/>
      <c r="AW37" s="309">
        <v>15000</v>
      </c>
      <c r="AX37" s="305">
        <v>68178</v>
      </c>
      <c r="AY37" s="304"/>
      <c r="AZ37" s="305">
        <f>325000</f>
        <v>325000</v>
      </c>
      <c r="BA37" s="310">
        <f t="shared" ref="BA37:BA46" si="59">AT37-AU37-AV37-AW37-AX37-AY37-AZ37</f>
        <v>2276822</v>
      </c>
      <c r="BB37" s="308"/>
      <c r="BC37" s="305"/>
      <c r="BD37" s="309">
        <v>15000</v>
      </c>
      <c r="BE37" s="305">
        <f>24509+68178</f>
        <v>92687</v>
      </c>
      <c r="BF37" s="304">
        <v>100000</v>
      </c>
      <c r="BG37" s="305"/>
      <c r="BH37" s="310">
        <f t="shared" si="53"/>
        <v>2577313</v>
      </c>
    </row>
    <row r="38" spans="1:60" s="311" customFormat="1" ht="15.75" customHeight="1" x14ac:dyDescent="0.25">
      <c r="A38" s="299"/>
      <c r="B38" s="366">
        <v>35</v>
      </c>
      <c r="C38" s="375" t="s">
        <v>390</v>
      </c>
      <c r="D38" s="378" t="s">
        <v>160</v>
      </c>
      <c r="E38" s="375" t="s">
        <v>466</v>
      </c>
      <c r="F38" s="304"/>
      <c r="G38" s="304"/>
      <c r="H38" s="304"/>
      <c r="I38" s="384" t="s">
        <v>448</v>
      </c>
      <c r="J38" s="304" t="s">
        <v>297</v>
      </c>
      <c r="K38" s="302">
        <f>SUM(1730000*80%)</f>
        <v>1384000</v>
      </c>
      <c r="L38" s="301">
        <v>600000</v>
      </c>
      <c r="M38" s="302"/>
      <c r="N38" s="302"/>
      <c r="O38" s="302"/>
      <c r="P38" s="302"/>
      <c r="Q38" s="304"/>
      <c r="R38" s="304">
        <v>5500</v>
      </c>
      <c r="S38" s="304">
        <v>22</v>
      </c>
      <c r="T38" s="306">
        <f t="shared" si="43"/>
        <v>121000</v>
      </c>
      <c r="U38" s="302"/>
      <c r="V38" s="303">
        <f t="shared" si="44"/>
        <v>2105000</v>
      </c>
      <c r="W38" s="304"/>
      <c r="X38" s="304"/>
      <c r="Y38" s="307">
        <v>12500</v>
      </c>
      <c r="Z38" s="304"/>
      <c r="AA38" s="304">
        <f t="shared" si="45"/>
        <v>0</v>
      </c>
      <c r="AB38" s="304"/>
      <c r="AC38" s="304"/>
      <c r="AD38" s="304">
        <f t="shared" si="46"/>
        <v>0</v>
      </c>
      <c r="AE38" s="303"/>
      <c r="AF38" s="303">
        <f t="shared" si="47"/>
        <v>0</v>
      </c>
      <c r="AG38" s="305">
        <f t="shared" si="48"/>
        <v>5500</v>
      </c>
      <c r="AH38" s="304"/>
      <c r="AI38" s="306">
        <f t="shared" si="49"/>
        <v>0</v>
      </c>
      <c r="AJ38" s="392">
        <f t="shared" si="56"/>
        <v>62909.090909090912</v>
      </c>
      <c r="AK38" s="304"/>
      <c r="AL38" s="304">
        <f t="shared" si="50"/>
        <v>0</v>
      </c>
      <c r="AM38" s="304"/>
      <c r="AN38" s="304"/>
      <c r="AO38" s="304">
        <f t="shared" si="57"/>
        <v>0</v>
      </c>
      <c r="AP38" s="304"/>
      <c r="AQ38" s="304"/>
      <c r="AR38" s="304">
        <f t="shared" si="58"/>
        <v>0</v>
      </c>
      <c r="AS38" s="306">
        <f t="shared" si="51"/>
        <v>0</v>
      </c>
      <c r="AT38" s="303">
        <f t="shared" si="52"/>
        <v>2105000</v>
      </c>
      <c r="AU38" s="308">
        <v>300000</v>
      </c>
      <c r="AV38" s="305">
        <v>1365500</v>
      </c>
      <c r="AW38" s="309">
        <v>15000</v>
      </c>
      <c r="AX38" s="305">
        <f>68178+22726</f>
        <v>90904</v>
      </c>
      <c r="AY38" s="308">
        <v>200000</v>
      </c>
      <c r="AZ38" s="305"/>
      <c r="BA38" s="310">
        <f t="shared" si="59"/>
        <v>133596</v>
      </c>
      <c r="BB38" s="308">
        <v>300000</v>
      </c>
      <c r="BC38" s="305">
        <v>1365500</v>
      </c>
      <c r="BD38" s="309">
        <v>15000</v>
      </c>
      <c r="BE38" s="305">
        <f>68178+24509</f>
        <v>92687</v>
      </c>
      <c r="BF38" s="308"/>
      <c r="BG38" s="305"/>
      <c r="BH38" s="310">
        <f t="shared" si="53"/>
        <v>331813</v>
      </c>
    </row>
    <row r="39" spans="1:60" s="311" customFormat="1" ht="16.5" customHeight="1" x14ac:dyDescent="0.25">
      <c r="A39" s="299">
        <v>26</v>
      </c>
      <c r="B39" s="366">
        <v>36</v>
      </c>
      <c r="C39" s="375" t="s">
        <v>394</v>
      </c>
      <c r="D39" s="378" t="s">
        <v>156</v>
      </c>
      <c r="E39" s="375" t="s">
        <v>395</v>
      </c>
      <c r="F39" s="304"/>
      <c r="G39" s="304"/>
      <c r="H39" s="304"/>
      <c r="I39" s="300">
        <v>41108</v>
      </c>
      <c r="J39" s="304" t="s">
        <v>289</v>
      </c>
      <c r="K39" s="302">
        <f t="shared" si="54"/>
        <v>1730000</v>
      </c>
      <c r="L39" s="301">
        <v>600000</v>
      </c>
      <c r="M39" s="302">
        <v>150000</v>
      </c>
      <c r="N39" s="302">
        <f>K39*5/100</f>
        <v>86500</v>
      </c>
      <c r="O39" s="302">
        <f>K39*2*2/100</f>
        <v>69200</v>
      </c>
      <c r="P39" s="302">
        <f t="shared" si="29"/>
        <v>32500</v>
      </c>
      <c r="Q39" s="304"/>
      <c r="R39" s="304">
        <v>3700</v>
      </c>
      <c r="S39" s="304">
        <v>22</v>
      </c>
      <c r="T39" s="306">
        <f t="shared" si="43"/>
        <v>81400</v>
      </c>
      <c r="U39" s="302">
        <f>2*4*12500</f>
        <v>100000</v>
      </c>
      <c r="V39" s="303">
        <f t="shared" si="44"/>
        <v>2849600</v>
      </c>
      <c r="W39" s="304"/>
      <c r="X39" s="304"/>
      <c r="Y39" s="304">
        <v>12500</v>
      </c>
      <c r="Z39" s="304"/>
      <c r="AA39" s="304">
        <f t="shared" si="45"/>
        <v>0</v>
      </c>
      <c r="AB39" s="304"/>
      <c r="AC39" s="304"/>
      <c r="AD39" s="304">
        <f t="shared" si="46"/>
        <v>0</v>
      </c>
      <c r="AE39" s="303"/>
      <c r="AF39" s="303">
        <f t="shared" si="47"/>
        <v>0</v>
      </c>
      <c r="AG39" s="305">
        <f t="shared" si="48"/>
        <v>3700</v>
      </c>
      <c r="AH39" s="304"/>
      <c r="AI39" s="306">
        <f t="shared" si="49"/>
        <v>0</v>
      </c>
      <c r="AJ39" s="307">
        <f t="shared" si="56"/>
        <v>78636.363636363632</v>
      </c>
      <c r="AK39" s="304"/>
      <c r="AL39" s="304">
        <f t="shared" si="50"/>
        <v>0</v>
      </c>
      <c r="AM39" s="304"/>
      <c r="AN39" s="304"/>
      <c r="AO39" s="304">
        <f t="shared" si="57"/>
        <v>0</v>
      </c>
      <c r="AP39" s="304"/>
      <c r="AQ39" s="304"/>
      <c r="AR39" s="304">
        <f t="shared" si="58"/>
        <v>0</v>
      </c>
      <c r="AS39" s="306">
        <f t="shared" si="51"/>
        <v>0</v>
      </c>
      <c r="AT39" s="303">
        <f t="shared" si="52"/>
        <v>2849600</v>
      </c>
      <c r="AU39" s="308">
        <v>200000</v>
      </c>
      <c r="AV39" s="305">
        <v>1335000</v>
      </c>
      <c r="AW39" s="309">
        <v>15000</v>
      </c>
      <c r="AX39" s="305">
        <f>22726*5+68178</f>
        <v>181808</v>
      </c>
      <c r="AY39" s="304">
        <v>100000</v>
      </c>
      <c r="AZ39" s="305"/>
      <c r="BA39" s="310">
        <f t="shared" si="59"/>
        <v>1017792</v>
      </c>
      <c r="BB39" s="308">
        <v>200000</v>
      </c>
      <c r="BC39" s="305">
        <v>1335000</v>
      </c>
      <c r="BD39" s="309">
        <v>15000</v>
      </c>
      <c r="BE39" s="305">
        <f>24509*5+68178</f>
        <v>190723</v>
      </c>
      <c r="BF39" s="304"/>
      <c r="BG39" s="305"/>
      <c r="BH39" s="310">
        <f t="shared" si="53"/>
        <v>1108877</v>
      </c>
    </row>
    <row r="40" spans="1:60" s="311" customFormat="1" ht="15" x14ac:dyDescent="0.25">
      <c r="A40" s="299">
        <v>22</v>
      </c>
      <c r="B40" s="366">
        <v>37</v>
      </c>
      <c r="C40" s="375" t="s">
        <v>396</v>
      </c>
      <c r="D40" s="378" t="s">
        <v>147</v>
      </c>
      <c r="E40" s="375" t="s">
        <v>416</v>
      </c>
      <c r="F40" s="304"/>
      <c r="G40" s="304"/>
      <c r="H40" s="304"/>
      <c r="I40" s="386" t="s">
        <v>279</v>
      </c>
      <c r="J40" s="304" t="s">
        <v>456</v>
      </c>
      <c r="K40" s="302">
        <f>SUM(1830000*100%)</f>
        <v>1830000</v>
      </c>
      <c r="L40" s="301">
        <v>600000</v>
      </c>
      <c r="M40" s="302">
        <v>150000</v>
      </c>
      <c r="N40" s="302">
        <f t="shared" ref="N40" si="60">K40*5/100</f>
        <v>91500</v>
      </c>
      <c r="O40" s="302">
        <f>K40*2/100</f>
        <v>36600</v>
      </c>
      <c r="P40" s="302">
        <f t="shared" si="29"/>
        <v>32500</v>
      </c>
      <c r="Q40" s="304"/>
      <c r="R40" s="304">
        <v>5500</v>
      </c>
      <c r="S40" s="304">
        <v>22</v>
      </c>
      <c r="T40" s="306">
        <f t="shared" si="43"/>
        <v>121000</v>
      </c>
      <c r="U40" s="304"/>
      <c r="V40" s="303">
        <f t="shared" si="44"/>
        <v>2861600</v>
      </c>
      <c r="W40" s="304"/>
      <c r="X40" s="304"/>
      <c r="Y40" s="304">
        <v>12500</v>
      </c>
      <c r="Z40" s="304"/>
      <c r="AA40" s="304">
        <f t="shared" si="45"/>
        <v>0</v>
      </c>
      <c r="AB40" s="304"/>
      <c r="AC40" s="304"/>
      <c r="AD40" s="304">
        <f t="shared" si="46"/>
        <v>0</v>
      </c>
      <c r="AE40" s="303"/>
      <c r="AF40" s="303">
        <f t="shared" si="47"/>
        <v>0</v>
      </c>
      <c r="AG40" s="305">
        <f t="shared" si="48"/>
        <v>5500</v>
      </c>
      <c r="AH40" s="304"/>
      <c r="AI40" s="306">
        <f t="shared" si="49"/>
        <v>0</v>
      </c>
      <c r="AJ40" s="307">
        <f t="shared" si="56"/>
        <v>83181.818181818177</v>
      </c>
      <c r="AK40" s="304"/>
      <c r="AL40" s="304">
        <f t="shared" si="50"/>
        <v>0</v>
      </c>
      <c r="AM40" s="304"/>
      <c r="AN40" s="304"/>
      <c r="AO40" s="304">
        <f t="shared" si="57"/>
        <v>0</v>
      </c>
      <c r="AP40" s="304"/>
      <c r="AQ40" s="304"/>
      <c r="AR40" s="304">
        <f t="shared" si="58"/>
        <v>0</v>
      </c>
      <c r="AS40" s="306">
        <f t="shared" si="51"/>
        <v>0</v>
      </c>
      <c r="AT40" s="303">
        <f t="shared" si="52"/>
        <v>2861600</v>
      </c>
      <c r="AU40" s="308">
        <v>200000</v>
      </c>
      <c r="AV40" s="305"/>
      <c r="AW40" s="309">
        <v>15000</v>
      </c>
      <c r="AX40" s="305">
        <f>22726+68178</f>
        <v>90904</v>
      </c>
      <c r="AY40" s="308">
        <v>200000</v>
      </c>
      <c r="AZ40" s="305"/>
      <c r="BA40" s="310">
        <f t="shared" si="59"/>
        <v>2355696</v>
      </c>
      <c r="BB40" s="308">
        <v>200000</v>
      </c>
      <c r="BC40" s="305"/>
      <c r="BD40" s="309">
        <v>15000</v>
      </c>
      <c r="BE40" s="305">
        <f>24509+68178</f>
        <v>92687</v>
      </c>
      <c r="BF40" s="308">
        <v>100000</v>
      </c>
      <c r="BG40" s="305"/>
      <c r="BH40" s="310">
        <f t="shared" si="53"/>
        <v>2453913</v>
      </c>
    </row>
    <row r="41" spans="1:60" s="311" customFormat="1" ht="13.5" customHeight="1" x14ac:dyDescent="0.25">
      <c r="A41" s="299">
        <v>15</v>
      </c>
      <c r="B41" s="366">
        <v>38</v>
      </c>
      <c r="C41" s="375" t="s">
        <v>398</v>
      </c>
      <c r="D41" s="393" t="s">
        <v>176</v>
      </c>
      <c r="E41" s="375" t="s">
        <v>417</v>
      </c>
      <c r="F41" s="304"/>
      <c r="G41" s="304"/>
      <c r="H41" s="304"/>
      <c r="I41" s="300" t="s">
        <v>280</v>
      </c>
      <c r="J41" s="304" t="s">
        <v>291</v>
      </c>
      <c r="K41" s="302">
        <f>SUM(1730000*100%)</f>
        <v>1730000</v>
      </c>
      <c r="L41" s="301">
        <v>600000</v>
      </c>
      <c r="M41" s="304">
        <v>50000</v>
      </c>
      <c r="N41" s="302">
        <f>K41*5/100</f>
        <v>86500</v>
      </c>
      <c r="O41" s="304"/>
      <c r="P41" s="302">
        <v>32500</v>
      </c>
      <c r="Q41" s="304"/>
      <c r="R41" s="304">
        <v>13000</v>
      </c>
      <c r="S41" s="304">
        <v>22</v>
      </c>
      <c r="T41" s="306">
        <f t="shared" si="43"/>
        <v>286000</v>
      </c>
      <c r="U41" s="302"/>
      <c r="V41" s="303">
        <f t="shared" si="44"/>
        <v>2785000</v>
      </c>
      <c r="W41" s="304"/>
      <c r="X41" s="304"/>
      <c r="Y41" s="304">
        <v>12500</v>
      </c>
      <c r="Z41" s="304"/>
      <c r="AA41" s="304">
        <f t="shared" si="45"/>
        <v>0</v>
      </c>
      <c r="AB41" s="304"/>
      <c r="AC41" s="304"/>
      <c r="AD41" s="304">
        <f t="shared" si="46"/>
        <v>0</v>
      </c>
      <c r="AE41" s="303"/>
      <c r="AF41" s="303">
        <f t="shared" si="47"/>
        <v>0</v>
      </c>
      <c r="AG41" s="305">
        <f t="shared" si="48"/>
        <v>13000</v>
      </c>
      <c r="AH41" s="304"/>
      <c r="AI41" s="306">
        <f t="shared" si="49"/>
        <v>0</v>
      </c>
      <c r="AJ41" s="307">
        <f t="shared" si="56"/>
        <v>78636.363636363632</v>
      </c>
      <c r="AK41" s="304"/>
      <c r="AL41" s="304">
        <f t="shared" si="50"/>
        <v>0</v>
      </c>
      <c r="AM41" s="304"/>
      <c r="AN41" s="304"/>
      <c r="AO41" s="304">
        <f t="shared" si="57"/>
        <v>0</v>
      </c>
      <c r="AP41" s="304"/>
      <c r="AQ41" s="304"/>
      <c r="AR41" s="304">
        <f t="shared" si="58"/>
        <v>0</v>
      </c>
      <c r="AS41" s="306">
        <f t="shared" si="51"/>
        <v>0</v>
      </c>
      <c r="AT41" s="303">
        <f t="shared" si="52"/>
        <v>2785000</v>
      </c>
      <c r="AU41" s="308">
        <v>100000</v>
      </c>
      <c r="AV41" s="305"/>
      <c r="AW41" s="309">
        <v>15000</v>
      </c>
      <c r="AX41" s="305"/>
      <c r="AY41" s="308">
        <v>100000</v>
      </c>
      <c r="AZ41" s="305"/>
      <c r="BA41" s="310">
        <f t="shared" si="59"/>
        <v>2570000</v>
      </c>
      <c r="BB41" s="308">
        <v>100000</v>
      </c>
      <c r="BC41" s="305"/>
      <c r="BD41" s="309">
        <v>15000</v>
      </c>
      <c r="BE41" s="305">
        <v>24509</v>
      </c>
      <c r="BF41" s="308">
        <v>100000</v>
      </c>
      <c r="BG41" s="305"/>
      <c r="BH41" s="310">
        <f t="shared" si="53"/>
        <v>2545491</v>
      </c>
    </row>
    <row r="42" spans="1:60" s="311" customFormat="1" ht="20.25" customHeight="1" x14ac:dyDescent="0.25">
      <c r="A42" s="299"/>
      <c r="B42" s="366">
        <v>39</v>
      </c>
      <c r="C42" s="375" t="s">
        <v>374</v>
      </c>
      <c r="D42" s="385" t="s">
        <v>188</v>
      </c>
      <c r="E42" s="304" t="s">
        <v>467</v>
      </c>
      <c r="F42" s="304"/>
      <c r="G42" s="304"/>
      <c r="H42" s="304"/>
      <c r="I42" s="300" t="s">
        <v>286</v>
      </c>
      <c r="J42" s="304" t="s">
        <v>293</v>
      </c>
      <c r="K42" s="369">
        <f t="shared" ref="K42" si="61">SUM(1730000*100%)</f>
        <v>1730000</v>
      </c>
      <c r="L42" s="301">
        <v>600000</v>
      </c>
      <c r="M42" s="304">
        <v>5000</v>
      </c>
      <c r="N42" s="302">
        <f>K42*5/100</f>
        <v>86500</v>
      </c>
      <c r="O42" s="302">
        <f>K42*2/100</f>
        <v>34600</v>
      </c>
      <c r="P42" s="302">
        <v>32500</v>
      </c>
      <c r="Q42" s="304"/>
      <c r="R42" s="304">
        <v>13000</v>
      </c>
      <c r="S42" s="304">
        <v>22</v>
      </c>
      <c r="T42" s="306">
        <f t="shared" si="43"/>
        <v>286000</v>
      </c>
      <c r="U42" s="302"/>
      <c r="V42" s="303">
        <f t="shared" si="44"/>
        <v>2774600</v>
      </c>
      <c r="W42" s="304"/>
      <c r="X42" s="304"/>
      <c r="Y42" s="304">
        <v>12500</v>
      </c>
      <c r="Z42" s="304"/>
      <c r="AA42" s="304">
        <f t="shared" si="45"/>
        <v>0</v>
      </c>
      <c r="AB42" s="304">
        <v>8500</v>
      </c>
      <c r="AC42" s="304"/>
      <c r="AD42" s="304">
        <f t="shared" si="46"/>
        <v>0</v>
      </c>
      <c r="AE42" s="303"/>
      <c r="AF42" s="303">
        <f t="shared" si="47"/>
        <v>0</v>
      </c>
      <c r="AG42" s="305">
        <f t="shared" si="48"/>
        <v>13000</v>
      </c>
      <c r="AH42" s="304"/>
      <c r="AI42" s="306">
        <f t="shared" si="49"/>
        <v>0</v>
      </c>
      <c r="AJ42" s="305">
        <f t="shared" si="56"/>
        <v>78636.363636363632</v>
      </c>
      <c r="AK42" s="304"/>
      <c r="AL42" s="304">
        <f t="shared" si="50"/>
        <v>0</v>
      </c>
      <c r="AM42" s="304"/>
      <c r="AN42" s="304"/>
      <c r="AO42" s="304">
        <f t="shared" si="57"/>
        <v>0</v>
      </c>
      <c r="AP42" s="304"/>
      <c r="AQ42" s="304"/>
      <c r="AR42" s="304">
        <f t="shared" si="58"/>
        <v>0</v>
      </c>
      <c r="AS42" s="306">
        <f t="shared" si="51"/>
        <v>0</v>
      </c>
      <c r="AT42" s="303">
        <f t="shared" si="52"/>
        <v>2774600</v>
      </c>
      <c r="AU42" s="304"/>
      <c r="AV42" s="305"/>
      <c r="AW42" s="309">
        <v>15000</v>
      </c>
      <c r="AX42" s="305"/>
      <c r="AY42" s="308"/>
      <c r="AZ42" s="305"/>
      <c r="BA42" s="310">
        <f t="shared" si="59"/>
        <v>2759600</v>
      </c>
      <c r="BB42" s="304"/>
      <c r="BC42" s="305"/>
      <c r="BD42" s="309">
        <v>15000</v>
      </c>
      <c r="BE42" s="305"/>
      <c r="BF42" s="308"/>
      <c r="BG42" s="305"/>
      <c r="BH42" s="310">
        <f t="shared" si="53"/>
        <v>2759600</v>
      </c>
    </row>
    <row r="43" spans="1:60" s="311" customFormat="1" ht="19.5" customHeight="1" x14ac:dyDescent="0.25">
      <c r="A43" s="299">
        <v>14</v>
      </c>
      <c r="B43" s="366">
        <v>40</v>
      </c>
      <c r="C43" s="375" t="s">
        <v>399</v>
      </c>
      <c r="D43" s="378" t="s">
        <v>161</v>
      </c>
      <c r="E43" s="375" t="s">
        <v>468</v>
      </c>
      <c r="F43" s="304"/>
      <c r="G43" s="304"/>
      <c r="H43" s="304"/>
      <c r="I43" s="300">
        <v>41470</v>
      </c>
      <c r="J43" s="304" t="s">
        <v>295</v>
      </c>
      <c r="K43" s="302">
        <f t="shared" ref="K43:K44" si="62">SUM(1730000*100%)</f>
        <v>1730000</v>
      </c>
      <c r="L43" s="301">
        <v>600000</v>
      </c>
      <c r="M43" s="302">
        <v>100000</v>
      </c>
      <c r="N43" s="302">
        <f>K43*5/100</f>
        <v>86500</v>
      </c>
      <c r="O43" s="302">
        <f>K43*2*2/100</f>
        <v>69200</v>
      </c>
      <c r="P43" s="302">
        <f t="shared" ref="P43:P44" si="63">6500*5</f>
        <v>32500</v>
      </c>
      <c r="Q43" s="304"/>
      <c r="R43" s="304">
        <v>7300</v>
      </c>
      <c r="S43" s="304">
        <v>22</v>
      </c>
      <c r="T43" s="306">
        <f t="shared" si="43"/>
        <v>160600</v>
      </c>
      <c r="U43" s="302">
        <v>0</v>
      </c>
      <c r="V43" s="303">
        <f t="shared" si="44"/>
        <v>2778800</v>
      </c>
      <c r="W43" s="304"/>
      <c r="X43" s="304"/>
      <c r="Y43" s="304">
        <v>12500</v>
      </c>
      <c r="Z43" s="304"/>
      <c r="AA43" s="304">
        <f t="shared" si="45"/>
        <v>0</v>
      </c>
      <c r="AB43" s="304"/>
      <c r="AC43" s="304"/>
      <c r="AD43" s="304">
        <f t="shared" si="46"/>
        <v>0</v>
      </c>
      <c r="AE43" s="303"/>
      <c r="AF43" s="303">
        <f t="shared" si="47"/>
        <v>0</v>
      </c>
      <c r="AG43" s="305">
        <f t="shared" si="48"/>
        <v>7300</v>
      </c>
      <c r="AH43" s="304"/>
      <c r="AI43" s="306">
        <f t="shared" si="49"/>
        <v>0</v>
      </c>
      <c r="AJ43" s="307">
        <f t="shared" si="56"/>
        <v>78636.363636363632</v>
      </c>
      <c r="AK43" s="304"/>
      <c r="AL43" s="304">
        <f t="shared" si="50"/>
        <v>0</v>
      </c>
      <c r="AM43" s="304"/>
      <c r="AN43" s="304"/>
      <c r="AO43" s="304">
        <f t="shared" si="57"/>
        <v>0</v>
      </c>
      <c r="AP43" s="304"/>
      <c r="AQ43" s="304"/>
      <c r="AR43" s="304">
        <f t="shared" si="58"/>
        <v>0</v>
      </c>
      <c r="AS43" s="306">
        <f t="shared" si="51"/>
        <v>0</v>
      </c>
      <c r="AT43" s="303">
        <f t="shared" si="52"/>
        <v>2778800</v>
      </c>
      <c r="AU43" s="304"/>
      <c r="AV43" s="305">
        <v>1365500</v>
      </c>
      <c r="AW43" s="309">
        <v>15000</v>
      </c>
      <c r="AX43" s="305">
        <f>68178+22726*4</f>
        <v>159082</v>
      </c>
      <c r="AY43" s="308">
        <v>200000</v>
      </c>
      <c r="AZ43" s="305">
        <f>220000</f>
        <v>220000</v>
      </c>
      <c r="BA43" s="310">
        <f t="shared" si="59"/>
        <v>819218</v>
      </c>
      <c r="BB43" s="304"/>
      <c r="BC43" s="305">
        <v>1365500</v>
      </c>
      <c r="BD43" s="309">
        <v>15000</v>
      </c>
      <c r="BE43" s="305">
        <f>68178+24509*3</f>
        <v>141705</v>
      </c>
      <c r="BF43" s="308">
        <v>200000</v>
      </c>
      <c r="BG43" s="305">
        <f>220000+152000</f>
        <v>372000</v>
      </c>
      <c r="BH43" s="310">
        <f t="shared" si="53"/>
        <v>684595</v>
      </c>
    </row>
    <row r="44" spans="1:60" s="311" customFormat="1" ht="15" x14ac:dyDescent="0.25">
      <c r="A44" s="299">
        <v>12</v>
      </c>
      <c r="B44" s="366">
        <v>41</v>
      </c>
      <c r="C44" s="375" t="s">
        <v>400</v>
      </c>
      <c r="D44" s="378" t="s">
        <v>150</v>
      </c>
      <c r="E44" s="375" t="s">
        <v>401</v>
      </c>
      <c r="F44" s="304"/>
      <c r="G44" s="304"/>
      <c r="H44" s="304"/>
      <c r="I44" s="300">
        <v>40735</v>
      </c>
      <c r="J44" s="304" t="s">
        <v>369</v>
      </c>
      <c r="K44" s="302">
        <f t="shared" si="62"/>
        <v>1730000</v>
      </c>
      <c r="L44" s="301">
        <v>600000</v>
      </c>
      <c r="M44" s="302">
        <v>150000</v>
      </c>
      <c r="N44" s="302">
        <f t="shared" ref="N44" si="64">K44*5/100</f>
        <v>86500</v>
      </c>
      <c r="O44" s="302">
        <f>K44*2*2/100</f>
        <v>69200</v>
      </c>
      <c r="P44" s="302">
        <f t="shared" si="63"/>
        <v>32500</v>
      </c>
      <c r="Q44" s="304"/>
      <c r="R44" s="304">
        <v>13000</v>
      </c>
      <c r="S44" s="304">
        <v>22</v>
      </c>
      <c r="T44" s="306">
        <f t="shared" si="43"/>
        <v>286000</v>
      </c>
      <c r="U44" s="302"/>
      <c r="V44" s="303">
        <f t="shared" si="44"/>
        <v>2954200</v>
      </c>
      <c r="W44" s="304"/>
      <c r="X44" s="304"/>
      <c r="Y44" s="304">
        <v>12500</v>
      </c>
      <c r="Z44" s="304"/>
      <c r="AA44" s="304">
        <f t="shared" si="45"/>
        <v>0</v>
      </c>
      <c r="AB44" s="304"/>
      <c r="AC44" s="304"/>
      <c r="AD44" s="304">
        <f t="shared" si="46"/>
        <v>0</v>
      </c>
      <c r="AE44" s="303"/>
      <c r="AF44" s="303">
        <f t="shared" si="47"/>
        <v>0</v>
      </c>
      <c r="AG44" s="305">
        <f t="shared" si="48"/>
        <v>13000</v>
      </c>
      <c r="AH44" s="304"/>
      <c r="AI44" s="306">
        <f t="shared" si="49"/>
        <v>0</v>
      </c>
      <c r="AJ44" s="307">
        <f t="shared" si="56"/>
        <v>78636.363636363632</v>
      </c>
      <c r="AK44" s="304"/>
      <c r="AL44" s="304">
        <f t="shared" si="50"/>
        <v>0</v>
      </c>
      <c r="AM44" s="304"/>
      <c r="AN44" s="304"/>
      <c r="AO44" s="304">
        <f t="shared" si="57"/>
        <v>0</v>
      </c>
      <c r="AP44" s="304"/>
      <c r="AQ44" s="304"/>
      <c r="AR44" s="304">
        <f t="shared" si="58"/>
        <v>0</v>
      </c>
      <c r="AS44" s="306">
        <f t="shared" si="51"/>
        <v>0</v>
      </c>
      <c r="AT44" s="303">
        <f t="shared" si="52"/>
        <v>2954200</v>
      </c>
      <c r="AU44" s="308">
        <v>100000</v>
      </c>
      <c r="AV44" s="305">
        <v>1335000</v>
      </c>
      <c r="AW44" s="309">
        <v>15000</v>
      </c>
      <c r="AX44" s="305">
        <f>22726*3+68178</f>
        <v>136356</v>
      </c>
      <c r="AY44" s="304">
        <v>200000</v>
      </c>
      <c r="AZ44" s="305"/>
      <c r="BA44" s="310">
        <f t="shared" si="59"/>
        <v>1167844</v>
      </c>
      <c r="BB44" s="304"/>
      <c r="BC44" s="305">
        <v>1335000</v>
      </c>
      <c r="BD44" s="309">
        <v>15000</v>
      </c>
      <c r="BE44" s="305">
        <f>24509*3+68178</f>
        <v>141705</v>
      </c>
      <c r="BF44" s="308">
        <v>100000</v>
      </c>
      <c r="BG44" s="305"/>
      <c r="BH44" s="310">
        <f t="shared" si="53"/>
        <v>1362495</v>
      </c>
    </row>
    <row r="45" spans="1:60" s="311" customFormat="1" ht="16.5" customHeight="1" x14ac:dyDescent="0.25">
      <c r="A45" s="299">
        <v>13</v>
      </c>
      <c r="B45" s="366">
        <v>42</v>
      </c>
      <c r="C45" s="375" t="s">
        <v>402</v>
      </c>
      <c r="D45" s="378" t="s">
        <v>154</v>
      </c>
      <c r="E45" s="375" t="s">
        <v>403</v>
      </c>
      <c r="F45" s="304"/>
      <c r="G45" s="304"/>
      <c r="H45" s="304"/>
      <c r="I45" s="300">
        <v>41108</v>
      </c>
      <c r="J45" s="304" t="s">
        <v>289</v>
      </c>
      <c r="K45" s="302">
        <f>SUM(1830000*100%)</f>
        <v>1830000</v>
      </c>
      <c r="L45" s="301">
        <v>600000</v>
      </c>
      <c r="M45" s="302">
        <v>150000</v>
      </c>
      <c r="N45" s="302">
        <f>K45*5/100</f>
        <v>91500</v>
      </c>
      <c r="O45" s="302">
        <f>K45*2*2/100</f>
        <v>73200</v>
      </c>
      <c r="P45" s="302">
        <f>6500*5</f>
        <v>32500</v>
      </c>
      <c r="Q45" s="304"/>
      <c r="R45" s="304">
        <v>11000</v>
      </c>
      <c r="S45" s="304">
        <v>22</v>
      </c>
      <c r="T45" s="306">
        <f t="shared" si="43"/>
        <v>242000</v>
      </c>
      <c r="U45" s="302"/>
      <c r="V45" s="303">
        <f t="shared" si="44"/>
        <v>3019200</v>
      </c>
      <c r="W45" s="304"/>
      <c r="Y45" s="304">
        <v>12500</v>
      </c>
      <c r="Z45" s="304"/>
      <c r="AA45" s="304">
        <f t="shared" si="45"/>
        <v>0</v>
      </c>
      <c r="AB45" s="304"/>
      <c r="AC45" s="304"/>
      <c r="AD45" s="304">
        <f t="shared" si="46"/>
        <v>0</v>
      </c>
      <c r="AE45" s="303"/>
      <c r="AF45" s="303">
        <f t="shared" si="47"/>
        <v>0</v>
      </c>
      <c r="AG45" s="305">
        <f t="shared" si="48"/>
        <v>11000</v>
      </c>
      <c r="AH45" s="304"/>
      <c r="AI45" s="306">
        <f t="shared" si="49"/>
        <v>0</v>
      </c>
      <c r="AJ45" s="307">
        <f t="shared" si="56"/>
        <v>83181.818181818177</v>
      </c>
      <c r="AK45" s="304"/>
      <c r="AL45" s="304">
        <f t="shared" si="50"/>
        <v>0</v>
      </c>
      <c r="AM45" s="304"/>
      <c r="AN45" s="304"/>
      <c r="AO45" s="304">
        <f t="shared" si="57"/>
        <v>0</v>
      </c>
      <c r="AP45" s="304"/>
      <c r="AQ45" s="304"/>
      <c r="AR45" s="304">
        <f t="shared" si="58"/>
        <v>0</v>
      </c>
      <c r="AS45" s="306">
        <f t="shared" si="51"/>
        <v>0</v>
      </c>
      <c r="AT45" s="303">
        <f t="shared" si="52"/>
        <v>3019200</v>
      </c>
      <c r="AU45" s="304"/>
      <c r="AV45" s="305">
        <v>1335000</v>
      </c>
      <c r="AW45" s="309">
        <v>15000</v>
      </c>
      <c r="AX45" s="305">
        <f>22726*3+68178</f>
        <v>136356</v>
      </c>
      <c r="AY45" s="308">
        <v>200000</v>
      </c>
      <c r="AZ45" s="305"/>
      <c r="BA45" s="310">
        <f t="shared" si="59"/>
        <v>1332844</v>
      </c>
      <c r="BB45" s="308">
        <v>200000</v>
      </c>
      <c r="BC45" s="305">
        <v>1335000</v>
      </c>
      <c r="BD45" s="309">
        <v>15000</v>
      </c>
      <c r="BE45" s="305">
        <f>24509*2+68178</f>
        <v>117196</v>
      </c>
      <c r="BF45" s="308">
        <v>100000</v>
      </c>
      <c r="BG45" s="305">
        <f>220000+325000</f>
        <v>545000</v>
      </c>
      <c r="BH45" s="310">
        <f t="shared" si="53"/>
        <v>707004</v>
      </c>
    </row>
    <row r="46" spans="1:60" s="311" customFormat="1" ht="16.5" customHeight="1" x14ac:dyDescent="0.25">
      <c r="A46" s="299">
        <v>17</v>
      </c>
      <c r="B46" s="366">
        <v>43</v>
      </c>
      <c r="C46" s="375" t="s">
        <v>404</v>
      </c>
      <c r="D46" s="378" t="s">
        <v>146</v>
      </c>
      <c r="E46" s="375" t="s">
        <v>405</v>
      </c>
      <c r="F46" s="304"/>
      <c r="G46" s="304"/>
      <c r="H46" s="304"/>
      <c r="I46" s="386" t="s">
        <v>279</v>
      </c>
      <c r="J46" s="304" t="s">
        <v>456</v>
      </c>
      <c r="K46" s="302">
        <f t="shared" ref="K46" si="65">SUM(1730000*100%)</f>
        <v>1730000</v>
      </c>
      <c r="L46" s="301">
        <v>600000</v>
      </c>
      <c r="M46" s="302">
        <v>150000</v>
      </c>
      <c r="N46" s="302">
        <f>K46*5/100</f>
        <v>86500</v>
      </c>
      <c r="O46" s="302">
        <f>K46*2*2/100</f>
        <v>69200</v>
      </c>
      <c r="P46" s="302">
        <f t="shared" ref="P46" si="66">6500*5</f>
        <v>32500</v>
      </c>
      <c r="Q46" s="304"/>
      <c r="R46" s="304">
        <v>13000</v>
      </c>
      <c r="S46" s="304">
        <v>22</v>
      </c>
      <c r="T46" s="306">
        <f t="shared" si="43"/>
        <v>286000</v>
      </c>
      <c r="U46" s="302"/>
      <c r="V46" s="303">
        <f t="shared" si="44"/>
        <v>2954200</v>
      </c>
      <c r="W46" s="304"/>
      <c r="X46" s="304"/>
      <c r="Y46" s="304">
        <v>12500</v>
      </c>
      <c r="Z46" s="304"/>
      <c r="AA46" s="304">
        <f t="shared" si="45"/>
        <v>0</v>
      </c>
      <c r="AB46" s="304"/>
      <c r="AC46" s="304"/>
      <c r="AD46" s="304">
        <f t="shared" si="46"/>
        <v>0</v>
      </c>
      <c r="AE46" s="303"/>
      <c r="AF46" s="303">
        <f t="shared" si="47"/>
        <v>0</v>
      </c>
      <c r="AG46" s="305">
        <f t="shared" si="48"/>
        <v>13000</v>
      </c>
      <c r="AH46" s="304"/>
      <c r="AI46" s="306">
        <f t="shared" si="49"/>
        <v>0</v>
      </c>
      <c r="AJ46" s="307">
        <f t="shared" si="56"/>
        <v>78636.363636363632</v>
      </c>
      <c r="AK46" s="304"/>
      <c r="AL46" s="304">
        <f t="shared" si="50"/>
        <v>0</v>
      </c>
      <c r="AM46" s="304"/>
      <c r="AN46" s="304"/>
      <c r="AO46" s="304">
        <f t="shared" si="57"/>
        <v>0</v>
      </c>
      <c r="AP46" s="304"/>
      <c r="AQ46" s="304"/>
      <c r="AR46" s="304">
        <f t="shared" si="58"/>
        <v>0</v>
      </c>
      <c r="AS46" s="306">
        <f t="shared" si="51"/>
        <v>0</v>
      </c>
      <c r="AT46" s="303">
        <f t="shared" si="52"/>
        <v>2954200</v>
      </c>
      <c r="AU46" s="308">
        <v>200000</v>
      </c>
      <c r="AV46" s="305">
        <v>1335000</v>
      </c>
      <c r="AW46" s="309">
        <v>15000</v>
      </c>
      <c r="AX46" s="305">
        <f>22726*2+68178</f>
        <v>113630</v>
      </c>
      <c r="AY46" s="308">
        <v>100000</v>
      </c>
      <c r="AZ46" s="305">
        <f>220000+325000</f>
        <v>545000</v>
      </c>
      <c r="BA46" s="310">
        <f t="shared" si="59"/>
        <v>645570</v>
      </c>
      <c r="BB46" s="308">
        <v>200000</v>
      </c>
      <c r="BC46" s="305">
        <v>1335000</v>
      </c>
      <c r="BD46" s="309">
        <v>15000</v>
      </c>
      <c r="BE46" s="305">
        <f>68178+24509</f>
        <v>92687</v>
      </c>
      <c r="BF46" s="308"/>
      <c r="BG46" s="305"/>
      <c r="BH46" s="310">
        <f t="shared" si="53"/>
        <v>1311513</v>
      </c>
    </row>
    <row r="47" spans="1:60" s="311" customFormat="1" ht="13.5" customHeight="1" x14ac:dyDescent="0.25">
      <c r="A47" s="299">
        <v>24</v>
      </c>
      <c r="B47" s="366">
        <v>44</v>
      </c>
      <c r="C47" s="375" t="s">
        <v>386</v>
      </c>
      <c r="D47" s="378" t="s">
        <v>149</v>
      </c>
      <c r="E47" s="375" t="s">
        <v>469</v>
      </c>
      <c r="F47" s="304"/>
      <c r="G47" s="304"/>
      <c r="H47" s="304"/>
      <c r="I47" s="300">
        <v>40735</v>
      </c>
      <c r="J47" s="304" t="s">
        <v>369</v>
      </c>
      <c r="K47" s="302">
        <f t="shared" si="33"/>
        <v>1730000</v>
      </c>
      <c r="L47" s="301">
        <v>500000</v>
      </c>
      <c r="M47" s="302">
        <v>150000</v>
      </c>
      <c r="N47" s="390">
        <f t="shared" ref="N47:N48" si="67">K47*5/100</f>
        <v>86500</v>
      </c>
      <c r="O47" s="302">
        <f>K47*2*2/100</f>
        <v>69200</v>
      </c>
      <c r="P47" s="302">
        <f t="shared" ref="P47:P48" si="68">6500*5</f>
        <v>32500</v>
      </c>
      <c r="Q47" s="304"/>
      <c r="R47" s="304">
        <v>9100</v>
      </c>
      <c r="S47" s="304">
        <v>22</v>
      </c>
      <c r="T47" s="306">
        <f t="shared" ref="T47" si="69">R47*S47</f>
        <v>200200</v>
      </c>
      <c r="U47" s="302"/>
      <c r="V47" s="303">
        <f t="shared" ref="V47" si="70">K47+L47+M47+N47+O47+P47+Q47+T47+U47</f>
        <v>2768400</v>
      </c>
      <c r="W47" s="304"/>
      <c r="X47" s="304"/>
      <c r="Y47" s="304">
        <v>12500</v>
      </c>
      <c r="Z47" s="304"/>
      <c r="AA47" s="304">
        <f t="shared" ref="AA47" si="71">Y47*Z47</f>
        <v>0</v>
      </c>
      <c r="AB47" s="304">
        <v>8500</v>
      </c>
      <c r="AC47" s="304"/>
      <c r="AD47" s="304">
        <f t="shared" ref="AD47" si="72">AB47*AC47</f>
        <v>0</v>
      </c>
      <c r="AE47" s="303"/>
      <c r="AF47" s="303">
        <f t="shared" ref="AF47" si="73">X47+AA47+AD47+AE47</f>
        <v>0</v>
      </c>
      <c r="AG47" s="305">
        <f t="shared" ref="AG47" si="74">R47</f>
        <v>9100</v>
      </c>
      <c r="AH47" s="304"/>
      <c r="AI47" s="306">
        <f t="shared" ref="AI47" si="75">AG47*AH47</f>
        <v>0</v>
      </c>
      <c r="AJ47" s="307">
        <f t="shared" ref="AJ47" si="76">K47/22</f>
        <v>78636.363636363632</v>
      </c>
      <c r="AK47" s="304"/>
      <c r="AL47" s="304">
        <f t="shared" ref="AL47" si="77">AJ47*AK47</f>
        <v>0</v>
      </c>
      <c r="AM47" s="304"/>
      <c r="AN47" s="304"/>
      <c r="AO47" s="304">
        <f t="shared" ref="AO47" si="78">AM47*AN47</f>
        <v>0</v>
      </c>
      <c r="AP47" s="304"/>
      <c r="AQ47" s="304"/>
      <c r="AR47" s="304">
        <f t="shared" ref="AR47" si="79">AP47*AQ47</f>
        <v>0</v>
      </c>
      <c r="AS47" s="306">
        <f t="shared" ref="AS47" si="80">AI47+AL47+AO47+AR47</f>
        <v>0</v>
      </c>
      <c r="AT47" s="303">
        <f t="shared" ref="AT47" si="81">V47+AF47-AS47</f>
        <v>2768400</v>
      </c>
      <c r="AU47" s="308"/>
      <c r="AV47" s="305">
        <v>1365500</v>
      </c>
      <c r="AW47" s="309">
        <v>15000</v>
      </c>
      <c r="AX47" s="305">
        <f>22726+68178</f>
        <v>90904</v>
      </c>
      <c r="AY47" s="308">
        <v>100000</v>
      </c>
      <c r="AZ47" s="305">
        <f>220000</f>
        <v>220000</v>
      </c>
      <c r="BA47" s="310">
        <f t="shared" ref="BA47" si="82">AT47-AU47-AV47-AW47-AX47-AY47-AZ47</f>
        <v>976996</v>
      </c>
      <c r="BB47" s="308"/>
      <c r="BC47" s="305">
        <v>1365500</v>
      </c>
      <c r="BD47" s="309">
        <v>15000</v>
      </c>
      <c r="BE47" s="305">
        <f>24509+68178</f>
        <v>92687</v>
      </c>
      <c r="BF47" s="308">
        <v>200000</v>
      </c>
      <c r="BG47" s="305">
        <f>220000+325000</f>
        <v>545000</v>
      </c>
      <c r="BH47" s="310">
        <f t="shared" ref="BH47" si="83">AT47-BB47-BC47-BD47-BE47-BF47-BG47</f>
        <v>550213</v>
      </c>
    </row>
    <row r="48" spans="1:60" s="311" customFormat="1" ht="15" x14ac:dyDescent="0.25">
      <c r="A48" s="299"/>
      <c r="B48" s="366">
        <v>45</v>
      </c>
      <c r="C48" s="375" t="s">
        <v>378</v>
      </c>
      <c r="D48" s="385" t="s">
        <v>187</v>
      </c>
      <c r="E48" s="375" t="s">
        <v>447</v>
      </c>
      <c r="F48" s="304"/>
      <c r="G48" s="304"/>
      <c r="H48" s="304"/>
      <c r="I48" s="300" t="s">
        <v>286</v>
      </c>
      <c r="J48" s="304" t="s">
        <v>470</v>
      </c>
      <c r="K48" s="302">
        <f t="shared" ref="K48" si="84">SUM(1730000*100%)</f>
        <v>1730000</v>
      </c>
      <c r="L48" s="301">
        <v>600000</v>
      </c>
      <c r="M48" s="304">
        <v>50000</v>
      </c>
      <c r="N48" s="390">
        <f t="shared" si="67"/>
        <v>86500</v>
      </c>
      <c r="O48" s="302">
        <f>K48*2/100</f>
        <v>34600</v>
      </c>
      <c r="P48" s="302">
        <f t="shared" si="68"/>
        <v>32500</v>
      </c>
      <c r="Q48" s="304"/>
      <c r="R48" s="304">
        <v>9100</v>
      </c>
      <c r="S48" s="304">
        <v>22</v>
      </c>
      <c r="T48" s="306">
        <f t="shared" ref="T48" si="85">R48*S48</f>
        <v>200200</v>
      </c>
      <c r="U48" s="305"/>
      <c r="V48" s="303">
        <f t="shared" si="0"/>
        <v>2733800</v>
      </c>
      <c r="W48" s="304"/>
      <c r="X48" s="304"/>
      <c r="Y48" s="304">
        <v>12500</v>
      </c>
      <c r="Z48" s="304"/>
      <c r="AA48" s="304">
        <f t="shared" si="2"/>
        <v>0</v>
      </c>
      <c r="AB48" s="304"/>
      <c r="AC48" s="304"/>
      <c r="AD48" s="304">
        <f t="shared" si="3"/>
        <v>0</v>
      </c>
      <c r="AE48" s="303"/>
      <c r="AF48" s="303">
        <f t="shared" si="4"/>
        <v>0</v>
      </c>
      <c r="AG48" s="305">
        <f t="shared" ref="AG48" si="86">R48</f>
        <v>9100</v>
      </c>
      <c r="AH48" s="304"/>
      <c r="AI48" s="306">
        <f t="shared" si="6"/>
        <v>0</v>
      </c>
      <c r="AJ48" s="307">
        <f t="shared" ref="AJ48" si="87">K48/22</f>
        <v>78636.363636363632</v>
      </c>
      <c r="AK48" s="304"/>
      <c r="AL48" s="304">
        <f t="shared" si="7"/>
        <v>0</v>
      </c>
      <c r="AM48" s="304"/>
      <c r="AN48" s="304"/>
      <c r="AO48" s="304">
        <f t="shared" ref="AO48" si="88">AM48*AN48</f>
        <v>0</v>
      </c>
      <c r="AP48" s="304"/>
      <c r="AQ48" s="304"/>
      <c r="AR48" s="304">
        <f t="shared" ref="AR48" si="89">AP48*AQ48</f>
        <v>0</v>
      </c>
      <c r="AS48" s="306">
        <f t="shared" si="10"/>
        <v>0</v>
      </c>
      <c r="AT48" s="303">
        <f t="shared" si="11"/>
        <v>2733800</v>
      </c>
      <c r="AU48" s="308"/>
      <c r="AV48" s="305"/>
      <c r="AW48" s="309">
        <v>15000</v>
      </c>
      <c r="AX48" s="305"/>
      <c r="AY48" s="308"/>
      <c r="AZ48" s="305"/>
      <c r="BA48" s="310">
        <f t="shared" ref="BA48" si="90">AT48-AU48-AV48-AW48-AX48-AY48-AZ48</f>
        <v>2718800</v>
      </c>
      <c r="BB48" s="308"/>
      <c r="BC48" s="305"/>
      <c r="BD48" s="309">
        <v>15000</v>
      </c>
      <c r="BE48" s="305"/>
      <c r="BF48" s="304"/>
      <c r="BG48" s="305"/>
      <c r="BH48" s="310">
        <f t="shared" si="13"/>
        <v>2718800</v>
      </c>
    </row>
    <row r="49" spans="1:60" s="311" customFormat="1" ht="15" x14ac:dyDescent="0.25">
      <c r="A49" s="299">
        <v>48</v>
      </c>
      <c r="B49" s="366">
        <v>46</v>
      </c>
      <c r="C49" s="394" t="s">
        <v>45</v>
      </c>
      <c r="D49" s="378" t="s">
        <v>157</v>
      </c>
      <c r="E49" s="304" t="s">
        <v>139</v>
      </c>
      <c r="F49" s="304"/>
      <c r="G49" s="304"/>
      <c r="H49" s="304"/>
      <c r="I49" s="395">
        <v>41108</v>
      </c>
      <c r="J49" s="304" t="s">
        <v>289</v>
      </c>
      <c r="K49" s="302">
        <v>1000000</v>
      </c>
      <c r="L49" s="302">
        <v>0</v>
      </c>
      <c r="M49" s="302">
        <v>150000</v>
      </c>
      <c r="N49" s="302">
        <f>K49*5/100</f>
        <v>50000</v>
      </c>
      <c r="O49" s="302"/>
      <c r="P49" s="302">
        <f t="shared" ref="P49:P57" si="91">6500*5</f>
        <v>32500</v>
      </c>
      <c r="Q49" s="304"/>
      <c r="R49" s="304">
        <v>3700</v>
      </c>
      <c r="S49" s="304">
        <v>22</v>
      </c>
      <c r="T49" s="306">
        <f t="shared" ref="T49:T58" si="92">R49*S49</f>
        <v>81400</v>
      </c>
      <c r="U49" s="304"/>
      <c r="V49" s="303">
        <f t="shared" si="0"/>
        <v>1313900</v>
      </c>
      <c r="W49" s="304"/>
      <c r="X49" s="304"/>
      <c r="Y49" s="304"/>
      <c r="Z49" s="304"/>
      <c r="AA49" s="304">
        <f t="shared" si="2"/>
        <v>0</v>
      </c>
      <c r="AB49" s="304"/>
      <c r="AC49" s="304"/>
      <c r="AD49" s="304">
        <f t="shared" si="3"/>
        <v>0</v>
      </c>
      <c r="AE49" s="303"/>
      <c r="AF49" s="303">
        <f t="shared" si="4"/>
        <v>0</v>
      </c>
      <c r="AG49" s="305">
        <f t="shared" si="5"/>
        <v>3700</v>
      </c>
      <c r="AH49" s="304"/>
      <c r="AI49" s="306">
        <f t="shared" si="6"/>
        <v>0</v>
      </c>
      <c r="AJ49" s="307"/>
      <c r="AK49" s="304"/>
      <c r="AL49" s="304">
        <f t="shared" si="7"/>
        <v>0</v>
      </c>
      <c r="AM49" s="304"/>
      <c r="AN49" s="304"/>
      <c r="AO49" s="304">
        <f t="shared" si="8"/>
        <v>0</v>
      </c>
      <c r="AP49" s="304"/>
      <c r="AQ49" s="304"/>
      <c r="AR49" s="304">
        <f t="shared" si="9"/>
        <v>0</v>
      </c>
      <c r="AS49" s="306">
        <f t="shared" si="10"/>
        <v>0</v>
      </c>
      <c r="AT49" s="303">
        <f t="shared" si="11"/>
        <v>1313900</v>
      </c>
      <c r="AU49" s="308"/>
      <c r="AV49" s="305"/>
      <c r="AW49" s="309">
        <v>15000</v>
      </c>
      <c r="AX49" s="305">
        <f>22726+68178</f>
        <v>90904</v>
      </c>
      <c r="AY49" s="308"/>
      <c r="AZ49" s="305"/>
      <c r="BA49" s="310">
        <f t="shared" si="12"/>
        <v>1207996</v>
      </c>
      <c r="BB49" s="308"/>
      <c r="BC49" s="305"/>
      <c r="BD49" s="309">
        <v>15000</v>
      </c>
      <c r="BE49" s="305">
        <f>24509+68178</f>
        <v>92687</v>
      </c>
      <c r="BF49" s="308">
        <v>100000</v>
      </c>
      <c r="BG49" s="305"/>
      <c r="BH49" s="310">
        <f t="shared" si="13"/>
        <v>1106213</v>
      </c>
    </row>
    <row r="50" spans="1:60" s="311" customFormat="1" ht="15" x14ac:dyDescent="0.25">
      <c r="A50" s="299">
        <v>49</v>
      </c>
      <c r="B50" s="366">
        <v>47</v>
      </c>
      <c r="C50" s="394" t="s">
        <v>46</v>
      </c>
      <c r="D50" s="378" t="s">
        <v>159</v>
      </c>
      <c r="E50" s="304" t="s">
        <v>141</v>
      </c>
      <c r="F50" s="304"/>
      <c r="G50" s="304"/>
      <c r="H50" s="304"/>
      <c r="I50" s="395">
        <v>41470</v>
      </c>
      <c r="J50" s="304" t="s">
        <v>370</v>
      </c>
      <c r="K50" s="302">
        <f>SUM(1730000*100%)</f>
        <v>1730000</v>
      </c>
      <c r="L50" s="302">
        <v>350000</v>
      </c>
      <c r="M50" s="302">
        <v>100000</v>
      </c>
      <c r="N50" s="302">
        <f>K50*5/100</f>
        <v>86500</v>
      </c>
      <c r="O50" s="302">
        <f>K50*2*2/100</f>
        <v>69200</v>
      </c>
      <c r="P50" s="302">
        <f t="shared" si="91"/>
        <v>32500</v>
      </c>
      <c r="Q50" s="304"/>
      <c r="R50" s="304">
        <v>13000</v>
      </c>
      <c r="S50" s="304">
        <v>22</v>
      </c>
      <c r="T50" s="306">
        <f t="shared" si="92"/>
        <v>286000</v>
      </c>
      <c r="U50" s="304"/>
      <c r="V50" s="303">
        <f t="shared" si="0"/>
        <v>2654200</v>
      </c>
      <c r="W50" s="304"/>
      <c r="X50" s="304"/>
      <c r="Y50" s="304"/>
      <c r="Z50" s="304"/>
      <c r="AA50" s="304">
        <f t="shared" si="2"/>
        <v>0</v>
      </c>
      <c r="AB50" s="304"/>
      <c r="AC50" s="304"/>
      <c r="AD50" s="304">
        <f t="shared" si="3"/>
        <v>0</v>
      </c>
      <c r="AE50" s="303"/>
      <c r="AF50" s="303">
        <f t="shared" si="4"/>
        <v>0</v>
      </c>
      <c r="AG50" s="305">
        <f t="shared" si="5"/>
        <v>13000</v>
      </c>
      <c r="AH50" s="304"/>
      <c r="AI50" s="306">
        <f t="shared" si="6"/>
        <v>0</v>
      </c>
      <c r="AJ50" s="307">
        <f t="shared" ref="AJ50" si="93">K50/22</f>
        <v>78636.363636363632</v>
      </c>
      <c r="AK50" s="304"/>
      <c r="AL50" s="304">
        <f t="shared" si="7"/>
        <v>0</v>
      </c>
      <c r="AM50" s="304"/>
      <c r="AN50" s="304"/>
      <c r="AO50" s="304">
        <f t="shared" si="8"/>
        <v>0</v>
      </c>
      <c r="AP50" s="304"/>
      <c r="AQ50" s="304"/>
      <c r="AR50" s="304">
        <f t="shared" si="9"/>
        <v>0</v>
      </c>
      <c r="AS50" s="306">
        <f t="shared" si="10"/>
        <v>0</v>
      </c>
      <c r="AT50" s="303">
        <f t="shared" si="11"/>
        <v>2654200</v>
      </c>
      <c r="AU50" s="304"/>
      <c r="AV50" s="305">
        <v>890000</v>
      </c>
      <c r="AW50" s="309">
        <v>15000</v>
      </c>
      <c r="AX50" s="305">
        <f>22726*3+68178</f>
        <v>136356</v>
      </c>
      <c r="AY50" s="308">
        <v>100000</v>
      </c>
      <c r="AZ50" s="305">
        <v>220000</v>
      </c>
      <c r="BA50" s="310">
        <f t="shared" si="12"/>
        <v>1292844</v>
      </c>
      <c r="BB50" s="304"/>
      <c r="BC50" s="305">
        <v>996500</v>
      </c>
      <c r="BD50" s="309">
        <v>15000</v>
      </c>
      <c r="BE50" s="305">
        <f>24509*3+68178</f>
        <v>141705</v>
      </c>
      <c r="BF50" s="308">
        <v>100000</v>
      </c>
      <c r="BG50" s="305">
        <v>220000</v>
      </c>
      <c r="BH50" s="310">
        <f t="shared" si="13"/>
        <v>1180995</v>
      </c>
    </row>
    <row r="51" spans="1:60" s="311" customFormat="1" ht="15" x14ac:dyDescent="0.25">
      <c r="A51" s="299">
        <v>50</v>
      </c>
      <c r="B51" s="366">
        <v>48</v>
      </c>
      <c r="C51" s="394" t="s">
        <v>47</v>
      </c>
      <c r="D51" s="396" t="s">
        <v>164</v>
      </c>
      <c r="E51" s="304" t="s">
        <v>48</v>
      </c>
      <c r="F51" s="304"/>
      <c r="G51" s="304"/>
      <c r="H51" s="304"/>
      <c r="I51" s="395">
        <v>41883</v>
      </c>
      <c r="J51" s="304" t="s">
        <v>296</v>
      </c>
      <c r="K51" s="302">
        <f>SUM(1730000*100%)</f>
        <v>1730000</v>
      </c>
      <c r="L51" s="302">
        <v>0</v>
      </c>
      <c r="M51" s="302">
        <v>100000</v>
      </c>
      <c r="N51" s="302">
        <f>K51*5/100</f>
        <v>86500</v>
      </c>
      <c r="O51" s="302">
        <f>K51*2*2/100</f>
        <v>69200</v>
      </c>
      <c r="P51" s="302">
        <f t="shared" si="91"/>
        <v>32500</v>
      </c>
      <c r="Q51" s="397"/>
      <c r="R51" s="304">
        <v>3700</v>
      </c>
      <c r="S51" s="304">
        <v>22</v>
      </c>
      <c r="T51" s="306">
        <f t="shared" si="92"/>
        <v>81400</v>
      </c>
      <c r="U51" s="304"/>
      <c r="V51" s="303">
        <f t="shared" si="0"/>
        <v>2099600</v>
      </c>
      <c r="W51" s="304"/>
      <c r="X51" s="304"/>
      <c r="Y51" s="304"/>
      <c r="Z51" s="304"/>
      <c r="AA51" s="304">
        <f t="shared" si="2"/>
        <v>0</v>
      </c>
      <c r="AB51" s="304"/>
      <c r="AC51" s="304"/>
      <c r="AD51" s="304">
        <f t="shared" si="3"/>
        <v>0</v>
      </c>
      <c r="AE51" s="303"/>
      <c r="AF51" s="303">
        <f t="shared" si="4"/>
        <v>0</v>
      </c>
      <c r="AG51" s="305">
        <f t="shared" si="5"/>
        <v>3700</v>
      </c>
      <c r="AH51" s="304"/>
      <c r="AI51" s="306">
        <f t="shared" si="6"/>
        <v>0</v>
      </c>
      <c r="AJ51" s="307">
        <f>K51/22</f>
        <v>78636.363636363632</v>
      </c>
      <c r="AK51" s="304"/>
      <c r="AL51" s="304">
        <f t="shared" si="7"/>
        <v>0</v>
      </c>
      <c r="AM51" s="304"/>
      <c r="AN51" s="304"/>
      <c r="AO51" s="304">
        <f t="shared" si="8"/>
        <v>0</v>
      </c>
      <c r="AP51" s="304"/>
      <c r="AQ51" s="304"/>
      <c r="AR51" s="304">
        <f t="shared" si="9"/>
        <v>0</v>
      </c>
      <c r="AS51" s="306">
        <f t="shared" si="10"/>
        <v>0</v>
      </c>
      <c r="AT51" s="303">
        <f t="shared" si="11"/>
        <v>2099600</v>
      </c>
      <c r="AU51" s="304"/>
      <c r="AV51" s="305">
        <v>779000</v>
      </c>
      <c r="AW51" s="309">
        <v>15000</v>
      </c>
      <c r="AX51" s="305">
        <f>22726+68178</f>
        <v>90904</v>
      </c>
      <c r="AY51" s="308">
        <v>200000</v>
      </c>
      <c r="AZ51" s="305">
        <v>56370</v>
      </c>
      <c r="BA51" s="310">
        <f t="shared" si="12"/>
        <v>958326</v>
      </c>
      <c r="BB51" s="304"/>
      <c r="BC51" s="305">
        <v>779000</v>
      </c>
      <c r="BD51" s="309">
        <v>15000</v>
      </c>
      <c r="BE51" s="305">
        <f>24509+68178+56370</f>
        <v>149057</v>
      </c>
      <c r="BF51" s="308">
        <v>200000</v>
      </c>
      <c r="BG51" s="305">
        <v>220000</v>
      </c>
      <c r="BH51" s="310">
        <f t="shared" si="13"/>
        <v>736543</v>
      </c>
    </row>
    <row r="52" spans="1:60" s="311" customFormat="1" ht="15" x14ac:dyDescent="0.25">
      <c r="A52" s="299">
        <v>51</v>
      </c>
      <c r="B52" s="366">
        <v>49</v>
      </c>
      <c r="C52" s="394" t="s">
        <v>49</v>
      </c>
      <c r="D52" s="396" t="s">
        <v>166</v>
      </c>
      <c r="E52" s="304" t="s">
        <v>140</v>
      </c>
      <c r="F52" s="304"/>
      <c r="G52" s="304"/>
      <c r="H52" s="304"/>
      <c r="I52" s="395">
        <v>42212</v>
      </c>
      <c r="J52" s="304" t="s">
        <v>297</v>
      </c>
      <c r="K52" s="302">
        <f>SUM(1260000*100%)</f>
        <v>1260000</v>
      </c>
      <c r="L52" s="302">
        <v>100000</v>
      </c>
      <c r="M52" s="302">
        <v>100000</v>
      </c>
      <c r="N52" s="302">
        <f>K52*5/100</f>
        <v>63000</v>
      </c>
      <c r="O52" s="302">
        <f>K52*2/100</f>
        <v>25200</v>
      </c>
      <c r="P52" s="302">
        <f t="shared" si="91"/>
        <v>32500</v>
      </c>
      <c r="Q52" s="397"/>
      <c r="R52" s="304">
        <v>3700</v>
      </c>
      <c r="S52" s="304">
        <v>22</v>
      </c>
      <c r="T52" s="306">
        <f t="shared" si="92"/>
        <v>81400</v>
      </c>
      <c r="U52" s="304"/>
      <c r="V52" s="303">
        <f t="shared" si="0"/>
        <v>1662100</v>
      </c>
      <c r="W52" s="304"/>
      <c r="X52" s="304">
        <v>0</v>
      </c>
      <c r="Y52" s="304"/>
      <c r="Z52" s="304"/>
      <c r="AA52" s="304">
        <f t="shared" si="2"/>
        <v>0</v>
      </c>
      <c r="AB52" s="304"/>
      <c r="AC52" s="304"/>
      <c r="AD52" s="304">
        <f t="shared" si="3"/>
        <v>0</v>
      </c>
      <c r="AE52" s="303"/>
      <c r="AF52" s="303">
        <f t="shared" si="4"/>
        <v>0</v>
      </c>
      <c r="AG52" s="305">
        <f t="shared" si="5"/>
        <v>3700</v>
      </c>
      <c r="AH52" s="304"/>
      <c r="AI52" s="306">
        <f t="shared" si="6"/>
        <v>0</v>
      </c>
      <c r="AJ52" s="307">
        <f>K52/22</f>
        <v>57272.727272727272</v>
      </c>
      <c r="AK52" s="304"/>
      <c r="AL52" s="304">
        <f t="shared" si="7"/>
        <v>0</v>
      </c>
      <c r="AM52" s="304"/>
      <c r="AN52" s="304"/>
      <c r="AO52" s="304">
        <f t="shared" si="8"/>
        <v>0</v>
      </c>
      <c r="AP52" s="304"/>
      <c r="AQ52" s="304"/>
      <c r="AR52" s="304">
        <f t="shared" si="9"/>
        <v>0</v>
      </c>
      <c r="AS52" s="306">
        <f t="shared" si="10"/>
        <v>0</v>
      </c>
      <c r="AT52" s="303">
        <f t="shared" si="11"/>
        <v>1662100</v>
      </c>
      <c r="AU52" s="308">
        <v>50000</v>
      </c>
      <c r="AV52" s="305"/>
      <c r="AW52" s="309">
        <v>15000</v>
      </c>
      <c r="AX52" s="305">
        <f>68178</f>
        <v>68178</v>
      </c>
      <c r="AY52" s="308">
        <v>100000</v>
      </c>
      <c r="AZ52" s="305"/>
      <c r="BA52" s="310">
        <f t="shared" si="12"/>
        <v>1428922</v>
      </c>
      <c r="BB52" s="308">
        <v>50000</v>
      </c>
      <c r="BC52" s="305">
        <v>556500</v>
      </c>
      <c r="BD52" s="309">
        <v>15000</v>
      </c>
      <c r="BE52" s="305">
        <f>68178</f>
        <v>68178</v>
      </c>
      <c r="BF52" s="308"/>
      <c r="BG52" s="305"/>
      <c r="BH52" s="310">
        <f t="shared" si="13"/>
        <v>972422</v>
      </c>
    </row>
    <row r="53" spans="1:60" s="311" customFormat="1" ht="18" customHeight="1" x14ac:dyDescent="0.25">
      <c r="A53" s="299">
        <v>52</v>
      </c>
      <c r="B53" s="366">
        <v>50</v>
      </c>
      <c r="C53" s="394" t="s">
        <v>50</v>
      </c>
      <c r="D53" s="396" t="s">
        <v>167</v>
      </c>
      <c r="E53" s="304" t="s">
        <v>140</v>
      </c>
      <c r="F53" s="304"/>
      <c r="G53" s="304"/>
      <c r="H53" s="304"/>
      <c r="I53" s="395">
        <v>42212</v>
      </c>
      <c r="J53" s="304" t="s">
        <v>297</v>
      </c>
      <c r="K53" s="302">
        <v>1280000</v>
      </c>
      <c r="L53" s="302"/>
      <c r="M53" s="302">
        <v>100000</v>
      </c>
      <c r="N53" s="304"/>
      <c r="O53" s="304"/>
      <c r="P53" s="302">
        <f t="shared" si="91"/>
        <v>32500</v>
      </c>
      <c r="Q53" s="397"/>
      <c r="R53" s="304">
        <v>3700</v>
      </c>
      <c r="S53" s="304">
        <v>22</v>
      </c>
      <c r="T53" s="306">
        <f t="shared" si="92"/>
        <v>81400</v>
      </c>
      <c r="U53" s="304"/>
      <c r="V53" s="303">
        <f t="shared" si="0"/>
        <v>1493900</v>
      </c>
      <c r="W53" s="304"/>
      <c r="X53" s="304"/>
      <c r="Y53" s="304"/>
      <c r="Z53" s="304"/>
      <c r="AA53" s="304">
        <f t="shared" si="2"/>
        <v>0</v>
      </c>
      <c r="AB53" s="304"/>
      <c r="AC53" s="304"/>
      <c r="AD53" s="304">
        <f t="shared" si="3"/>
        <v>0</v>
      </c>
      <c r="AE53" s="303"/>
      <c r="AF53" s="303">
        <f t="shared" si="4"/>
        <v>0</v>
      </c>
      <c r="AG53" s="305">
        <f t="shared" si="5"/>
        <v>3700</v>
      </c>
      <c r="AH53" s="304"/>
      <c r="AI53" s="306">
        <f t="shared" si="6"/>
        <v>0</v>
      </c>
      <c r="AJ53" s="307">
        <f>K53/22</f>
        <v>58181.818181818184</v>
      </c>
      <c r="AK53" s="304"/>
      <c r="AL53" s="304">
        <f t="shared" si="7"/>
        <v>0</v>
      </c>
      <c r="AM53" s="304"/>
      <c r="AN53" s="304"/>
      <c r="AO53" s="304">
        <f t="shared" si="8"/>
        <v>0</v>
      </c>
      <c r="AP53" s="304"/>
      <c r="AQ53" s="304"/>
      <c r="AR53" s="304">
        <f t="shared" si="9"/>
        <v>0</v>
      </c>
      <c r="AS53" s="306">
        <f t="shared" si="10"/>
        <v>0</v>
      </c>
      <c r="AT53" s="303">
        <f t="shared" si="11"/>
        <v>1493900</v>
      </c>
      <c r="AU53" s="304"/>
      <c r="AV53" s="305"/>
      <c r="AW53" s="309">
        <v>15000</v>
      </c>
      <c r="AX53" s="305">
        <f>22726+68178</f>
        <v>90904</v>
      </c>
      <c r="AY53" s="308">
        <v>200000</v>
      </c>
      <c r="AZ53" s="305"/>
      <c r="BA53" s="310">
        <f t="shared" si="12"/>
        <v>1187996</v>
      </c>
      <c r="BB53" s="304"/>
      <c r="BC53" s="305"/>
      <c r="BD53" s="309">
        <v>15000</v>
      </c>
      <c r="BE53" s="305">
        <f>24509+68178</f>
        <v>92687</v>
      </c>
      <c r="BF53" s="308"/>
      <c r="BG53" s="305"/>
      <c r="BH53" s="310">
        <f t="shared" si="13"/>
        <v>1386213</v>
      </c>
    </row>
    <row r="54" spans="1:60" s="311" customFormat="1" ht="15" x14ac:dyDescent="0.25">
      <c r="A54" s="299">
        <v>53</v>
      </c>
      <c r="B54" s="366">
        <v>51</v>
      </c>
      <c r="C54" s="394" t="s">
        <v>51</v>
      </c>
      <c r="D54" s="396" t="s">
        <v>168</v>
      </c>
      <c r="E54" s="304" t="s">
        <v>140</v>
      </c>
      <c r="F54" s="304"/>
      <c r="G54" s="304"/>
      <c r="H54" s="304"/>
      <c r="I54" s="395">
        <v>42297</v>
      </c>
      <c r="J54" s="304" t="s">
        <v>297</v>
      </c>
      <c r="K54" s="302">
        <f>SUM(1280000*100%)</f>
        <v>1280000</v>
      </c>
      <c r="L54" s="302">
        <v>0</v>
      </c>
      <c r="M54" s="308">
        <v>100000</v>
      </c>
      <c r="N54" s="302">
        <f>K54*5/100</f>
        <v>64000</v>
      </c>
      <c r="O54" s="302">
        <f>K54*2/100</f>
        <v>25600</v>
      </c>
      <c r="P54" s="302">
        <f t="shared" si="91"/>
        <v>32500</v>
      </c>
      <c r="Q54" s="397"/>
      <c r="R54" s="304">
        <v>9100</v>
      </c>
      <c r="S54" s="304">
        <v>22</v>
      </c>
      <c r="T54" s="306">
        <f t="shared" si="92"/>
        <v>200200</v>
      </c>
      <c r="U54" s="304"/>
      <c r="V54" s="303">
        <f t="shared" si="0"/>
        <v>1702300</v>
      </c>
      <c r="W54" s="304"/>
      <c r="X54" s="304"/>
      <c r="Y54" s="304"/>
      <c r="Z54" s="304"/>
      <c r="AA54" s="304">
        <f t="shared" si="2"/>
        <v>0</v>
      </c>
      <c r="AB54" s="304"/>
      <c r="AC54" s="304"/>
      <c r="AD54" s="304">
        <f t="shared" si="3"/>
        <v>0</v>
      </c>
      <c r="AE54" s="303"/>
      <c r="AF54" s="303">
        <f t="shared" si="4"/>
        <v>0</v>
      </c>
      <c r="AG54" s="305">
        <f t="shared" si="5"/>
        <v>9100</v>
      </c>
      <c r="AH54" s="304"/>
      <c r="AI54" s="306">
        <f t="shared" si="6"/>
        <v>0</v>
      </c>
      <c r="AJ54" s="304"/>
      <c r="AK54" s="304"/>
      <c r="AL54" s="304">
        <f t="shared" si="7"/>
        <v>0</v>
      </c>
      <c r="AM54" s="304"/>
      <c r="AN54" s="304"/>
      <c r="AO54" s="304">
        <f t="shared" si="8"/>
        <v>0</v>
      </c>
      <c r="AP54" s="304"/>
      <c r="AQ54" s="304"/>
      <c r="AR54" s="304">
        <f t="shared" si="9"/>
        <v>0</v>
      </c>
      <c r="AS54" s="306">
        <f t="shared" si="10"/>
        <v>0</v>
      </c>
      <c r="AT54" s="303">
        <f t="shared" si="11"/>
        <v>1702300</v>
      </c>
      <c r="AU54" s="308"/>
      <c r="AV54" s="305">
        <v>395500</v>
      </c>
      <c r="AW54" s="309">
        <v>15000</v>
      </c>
      <c r="AX54" s="305">
        <f>22726*2+68178</f>
        <v>113630</v>
      </c>
      <c r="AY54" s="308">
        <v>100000</v>
      </c>
      <c r="AZ54" s="305"/>
      <c r="BA54" s="310">
        <f t="shared" si="12"/>
        <v>1078170</v>
      </c>
      <c r="BB54" s="308"/>
      <c r="BC54" s="305">
        <v>395500</v>
      </c>
      <c r="BD54" s="309">
        <v>15000</v>
      </c>
      <c r="BE54" s="305">
        <f>24509*2+68178</f>
        <v>117196</v>
      </c>
      <c r="BF54" s="308">
        <v>100000</v>
      </c>
      <c r="BG54" s="305"/>
      <c r="BH54" s="310">
        <f t="shared" si="13"/>
        <v>1074604</v>
      </c>
    </row>
    <row r="55" spans="1:60" s="311" customFormat="1" ht="15" x14ac:dyDescent="0.25">
      <c r="A55" s="299">
        <v>54</v>
      </c>
      <c r="B55" s="366">
        <v>52</v>
      </c>
      <c r="C55" s="394" t="s">
        <v>52</v>
      </c>
      <c r="D55" s="396" t="s">
        <v>173</v>
      </c>
      <c r="E55" s="304" t="s">
        <v>140</v>
      </c>
      <c r="F55" s="304"/>
      <c r="G55" s="304"/>
      <c r="H55" s="304"/>
      <c r="I55" s="395">
        <v>42820</v>
      </c>
      <c r="J55" s="304" t="s">
        <v>290</v>
      </c>
      <c r="K55" s="302">
        <f>SUM(1280000*100%)</f>
        <v>1280000</v>
      </c>
      <c r="L55" s="302">
        <v>0</v>
      </c>
      <c r="M55" s="308">
        <v>50000</v>
      </c>
      <c r="N55" s="302">
        <f>K55*5/100</f>
        <v>64000</v>
      </c>
      <c r="O55" s="304"/>
      <c r="P55" s="302">
        <f t="shared" si="91"/>
        <v>32500</v>
      </c>
      <c r="Q55" s="305"/>
      <c r="R55" s="304">
        <v>7300</v>
      </c>
      <c r="S55" s="304">
        <v>22</v>
      </c>
      <c r="T55" s="306">
        <f t="shared" si="92"/>
        <v>160600</v>
      </c>
      <c r="U55" s="304"/>
      <c r="V55" s="303">
        <f t="shared" si="0"/>
        <v>1587100</v>
      </c>
      <c r="W55" s="304"/>
      <c r="X55" s="304"/>
      <c r="Y55" s="304"/>
      <c r="Z55" s="304"/>
      <c r="AA55" s="304">
        <f t="shared" si="2"/>
        <v>0</v>
      </c>
      <c r="AB55" s="304"/>
      <c r="AC55" s="304"/>
      <c r="AD55" s="304">
        <f t="shared" si="3"/>
        <v>0</v>
      </c>
      <c r="AE55" s="303"/>
      <c r="AF55" s="303">
        <f t="shared" si="4"/>
        <v>0</v>
      </c>
      <c r="AG55" s="305">
        <f t="shared" si="5"/>
        <v>7300</v>
      </c>
      <c r="AH55" s="304"/>
      <c r="AI55" s="306">
        <f t="shared" si="6"/>
        <v>0</v>
      </c>
      <c r="AJ55" s="304"/>
      <c r="AK55" s="304"/>
      <c r="AL55" s="304">
        <f t="shared" si="7"/>
        <v>0</v>
      </c>
      <c r="AM55" s="304"/>
      <c r="AN55" s="304"/>
      <c r="AO55" s="304">
        <f t="shared" si="8"/>
        <v>0</v>
      </c>
      <c r="AP55" s="304"/>
      <c r="AQ55" s="304"/>
      <c r="AR55" s="304">
        <f t="shared" si="9"/>
        <v>0</v>
      </c>
      <c r="AS55" s="306">
        <f t="shared" si="10"/>
        <v>0</v>
      </c>
      <c r="AT55" s="303">
        <f t="shared" si="11"/>
        <v>1587100</v>
      </c>
      <c r="AU55" s="304"/>
      <c r="AV55" s="305"/>
      <c r="AW55" s="309">
        <v>15000</v>
      </c>
      <c r="AX55" s="305"/>
      <c r="AY55" s="308"/>
      <c r="AZ55" s="305"/>
      <c r="BA55" s="310">
        <f t="shared" si="12"/>
        <v>1572100</v>
      </c>
      <c r="BB55" s="304"/>
      <c r="BC55" s="305"/>
      <c r="BD55" s="309">
        <v>15000</v>
      </c>
      <c r="BE55" s="305"/>
      <c r="BF55" s="308"/>
      <c r="BG55" s="305">
        <v>0</v>
      </c>
      <c r="BH55" s="310">
        <f t="shared" si="13"/>
        <v>1572100</v>
      </c>
    </row>
    <row r="56" spans="1:60" s="311" customFormat="1" ht="15" x14ac:dyDescent="0.25">
      <c r="A56" s="299">
        <v>55</v>
      </c>
      <c r="B56" s="366">
        <v>53</v>
      </c>
      <c r="C56" s="394" t="s">
        <v>53</v>
      </c>
      <c r="D56" s="396" t="s">
        <v>174</v>
      </c>
      <c r="E56" s="304" t="s">
        <v>140</v>
      </c>
      <c r="F56" s="304"/>
      <c r="G56" s="304"/>
      <c r="H56" s="304"/>
      <c r="I56" s="395">
        <v>42942</v>
      </c>
      <c r="J56" s="304" t="s">
        <v>290</v>
      </c>
      <c r="K56" s="302">
        <f>SUM(1280000*100%)</f>
        <v>1280000</v>
      </c>
      <c r="L56" s="302">
        <v>0</v>
      </c>
      <c r="M56" s="304">
        <v>50000</v>
      </c>
      <c r="N56" s="302">
        <f t="shared" ref="N56" si="94">K56*5/100</f>
        <v>64000</v>
      </c>
      <c r="O56" s="302">
        <f>K56*2/100</f>
        <v>25600</v>
      </c>
      <c r="P56" s="302">
        <f t="shared" si="91"/>
        <v>32500</v>
      </c>
      <c r="Q56" s="305"/>
      <c r="R56" s="304">
        <v>7300</v>
      </c>
      <c r="S56" s="304">
        <v>22</v>
      </c>
      <c r="T56" s="306">
        <f t="shared" si="92"/>
        <v>160600</v>
      </c>
      <c r="U56" s="304"/>
      <c r="V56" s="303">
        <f t="shared" si="0"/>
        <v>1612700</v>
      </c>
      <c r="W56" s="304"/>
      <c r="X56" s="304"/>
      <c r="Y56" s="304"/>
      <c r="Z56" s="304"/>
      <c r="AA56" s="304">
        <f t="shared" si="2"/>
        <v>0</v>
      </c>
      <c r="AB56" s="304"/>
      <c r="AC56" s="304"/>
      <c r="AD56" s="304">
        <f t="shared" si="3"/>
        <v>0</v>
      </c>
      <c r="AE56" s="303"/>
      <c r="AF56" s="303">
        <f t="shared" si="4"/>
        <v>0</v>
      </c>
      <c r="AG56" s="305">
        <f t="shared" si="5"/>
        <v>7300</v>
      </c>
      <c r="AH56" s="304"/>
      <c r="AI56" s="306">
        <f t="shared" si="6"/>
        <v>0</v>
      </c>
      <c r="AJ56" s="307"/>
      <c r="AK56" s="304"/>
      <c r="AL56" s="304">
        <f t="shared" si="7"/>
        <v>0</v>
      </c>
      <c r="AM56" s="304"/>
      <c r="AN56" s="304"/>
      <c r="AO56" s="304">
        <f t="shared" si="8"/>
        <v>0</v>
      </c>
      <c r="AP56" s="304"/>
      <c r="AQ56" s="304"/>
      <c r="AR56" s="304">
        <f t="shared" si="9"/>
        <v>0</v>
      </c>
      <c r="AS56" s="306">
        <f t="shared" si="10"/>
        <v>0</v>
      </c>
      <c r="AT56" s="303">
        <f t="shared" si="11"/>
        <v>1612700</v>
      </c>
      <c r="AU56" s="304"/>
      <c r="AV56" s="305">
        <v>445000</v>
      </c>
      <c r="AW56" s="309">
        <v>15000</v>
      </c>
      <c r="AX56" s="305"/>
      <c r="AY56" s="308"/>
      <c r="AZ56" s="305"/>
      <c r="BA56" s="310">
        <f t="shared" si="12"/>
        <v>1152700</v>
      </c>
      <c r="BB56" s="304"/>
      <c r="BC56" s="305">
        <v>779000</v>
      </c>
      <c r="BD56" s="309">
        <v>15000</v>
      </c>
      <c r="BE56" s="305">
        <f>24509</f>
        <v>24509</v>
      </c>
      <c r="BF56" s="308"/>
      <c r="BG56" s="305"/>
      <c r="BH56" s="310">
        <f t="shared" si="13"/>
        <v>794191</v>
      </c>
    </row>
    <row r="57" spans="1:60" s="311" customFormat="1" ht="15" x14ac:dyDescent="0.25">
      <c r="A57" s="299">
        <v>56</v>
      </c>
      <c r="B57" s="366">
        <v>54</v>
      </c>
      <c r="C57" s="394" t="s">
        <v>54</v>
      </c>
      <c r="D57" s="398" t="s">
        <v>262</v>
      </c>
      <c r="E57" s="304" t="s">
        <v>140</v>
      </c>
      <c r="F57" s="304"/>
      <c r="G57" s="304"/>
      <c r="H57" s="304"/>
      <c r="I57" s="395" t="s">
        <v>280</v>
      </c>
      <c r="J57" s="304" t="s">
        <v>291</v>
      </c>
      <c r="K57" s="302">
        <f>SUM(1280000*100%)</f>
        <v>1280000</v>
      </c>
      <c r="L57" s="302">
        <v>0</v>
      </c>
      <c r="M57" s="304">
        <v>50000</v>
      </c>
      <c r="N57" s="304"/>
      <c r="O57" s="304"/>
      <c r="P57" s="302">
        <f t="shared" si="91"/>
        <v>32500</v>
      </c>
      <c r="Q57" s="305"/>
      <c r="R57" s="304">
        <v>7300</v>
      </c>
      <c r="S57" s="304">
        <v>22</v>
      </c>
      <c r="T57" s="306">
        <f t="shared" si="92"/>
        <v>160600</v>
      </c>
      <c r="U57" s="304"/>
      <c r="V57" s="303">
        <f t="shared" si="0"/>
        <v>1523100</v>
      </c>
      <c r="W57" s="304"/>
      <c r="X57" s="304"/>
      <c r="Y57" s="304"/>
      <c r="Z57" s="304"/>
      <c r="AA57" s="304">
        <f t="shared" si="2"/>
        <v>0</v>
      </c>
      <c r="AB57" s="304"/>
      <c r="AC57" s="304"/>
      <c r="AD57" s="304">
        <f t="shared" si="3"/>
        <v>0</v>
      </c>
      <c r="AE57" s="303"/>
      <c r="AF57" s="303">
        <f t="shared" si="4"/>
        <v>0</v>
      </c>
      <c r="AG57" s="305">
        <f t="shared" si="5"/>
        <v>7300</v>
      </c>
      <c r="AH57" s="304"/>
      <c r="AI57" s="306">
        <f t="shared" si="6"/>
        <v>0</v>
      </c>
      <c r="AJ57" s="305"/>
      <c r="AK57" s="305"/>
      <c r="AL57" s="304">
        <f t="shared" si="7"/>
        <v>0</v>
      </c>
      <c r="AM57" s="304"/>
      <c r="AN57" s="304"/>
      <c r="AO57" s="304">
        <f t="shared" si="8"/>
        <v>0</v>
      </c>
      <c r="AP57" s="304"/>
      <c r="AQ57" s="304"/>
      <c r="AR57" s="304">
        <f t="shared" si="9"/>
        <v>0</v>
      </c>
      <c r="AS57" s="306">
        <f t="shared" si="10"/>
        <v>0</v>
      </c>
      <c r="AT57" s="303">
        <f t="shared" si="11"/>
        <v>1523100</v>
      </c>
      <c r="AU57" s="304"/>
      <c r="AV57" s="305"/>
      <c r="AW57" s="309">
        <v>15000</v>
      </c>
      <c r="AX57" s="305"/>
      <c r="AY57" s="304"/>
      <c r="AZ57" s="305"/>
      <c r="BA57" s="310">
        <f t="shared" si="12"/>
        <v>1508100</v>
      </c>
      <c r="BB57" s="304"/>
      <c r="BC57" s="305"/>
      <c r="BD57" s="309">
        <v>15000</v>
      </c>
      <c r="BE57" s="305"/>
      <c r="BF57" s="304"/>
      <c r="BG57" s="305"/>
      <c r="BH57" s="310">
        <f t="shared" si="13"/>
        <v>1508100</v>
      </c>
    </row>
    <row r="58" spans="1:60" s="311" customFormat="1" ht="13.9" customHeight="1" x14ac:dyDescent="0.25">
      <c r="A58" s="299"/>
      <c r="B58" s="366">
        <v>55</v>
      </c>
      <c r="C58" s="394" t="s">
        <v>330</v>
      </c>
      <c r="D58" s="396"/>
      <c r="E58" s="304"/>
      <c r="F58" s="304"/>
      <c r="G58" s="304"/>
      <c r="H58" s="304"/>
      <c r="I58" s="395">
        <v>44805</v>
      </c>
      <c r="J58" s="304" t="s">
        <v>471</v>
      </c>
      <c r="K58" s="302">
        <f>SUM(1280000*100%)</f>
        <v>1280000</v>
      </c>
      <c r="L58" s="302"/>
      <c r="M58" s="304"/>
      <c r="N58" s="304"/>
      <c r="O58" s="304"/>
      <c r="P58" s="302"/>
      <c r="Q58" s="305"/>
      <c r="R58" s="304">
        <v>9100</v>
      </c>
      <c r="S58" s="304">
        <v>22</v>
      </c>
      <c r="T58" s="306">
        <f t="shared" si="92"/>
        <v>200200</v>
      </c>
      <c r="U58" s="304"/>
      <c r="V58" s="303">
        <f t="shared" si="0"/>
        <v>1480200</v>
      </c>
      <c r="W58" s="304"/>
      <c r="X58" s="304"/>
      <c r="Y58" s="304"/>
      <c r="Z58" s="304"/>
      <c r="AA58" s="304">
        <f t="shared" si="2"/>
        <v>0</v>
      </c>
      <c r="AB58" s="304"/>
      <c r="AC58" s="304"/>
      <c r="AD58" s="304">
        <f t="shared" si="3"/>
        <v>0</v>
      </c>
      <c r="AE58" s="303"/>
      <c r="AF58" s="303">
        <f t="shared" si="4"/>
        <v>0</v>
      </c>
      <c r="AG58" s="305">
        <f t="shared" si="5"/>
        <v>9100</v>
      </c>
      <c r="AH58" s="304"/>
      <c r="AI58" s="306">
        <f t="shared" si="6"/>
        <v>0</v>
      </c>
      <c r="AJ58" s="305">
        <f>K58/22</f>
        <v>58181.818181818184</v>
      </c>
      <c r="AK58" s="305"/>
      <c r="AL58" s="304">
        <f t="shared" si="7"/>
        <v>0</v>
      </c>
      <c r="AM58" s="304"/>
      <c r="AN58" s="304"/>
      <c r="AO58" s="304">
        <f t="shared" si="8"/>
        <v>0</v>
      </c>
      <c r="AP58" s="304"/>
      <c r="AQ58" s="304"/>
      <c r="AR58" s="304">
        <f t="shared" si="9"/>
        <v>0</v>
      </c>
      <c r="AS58" s="306">
        <f t="shared" si="10"/>
        <v>0</v>
      </c>
      <c r="AT58" s="303">
        <f t="shared" si="11"/>
        <v>1480200</v>
      </c>
      <c r="AU58" s="304"/>
      <c r="AV58" s="305"/>
      <c r="AW58" s="309">
        <v>15000</v>
      </c>
      <c r="AX58" s="305"/>
      <c r="AY58" s="304"/>
      <c r="AZ58" s="305"/>
      <c r="BA58" s="310">
        <f t="shared" si="12"/>
        <v>1465200</v>
      </c>
      <c r="BB58" s="304"/>
      <c r="BC58" s="305"/>
      <c r="BD58" s="309">
        <v>15000</v>
      </c>
      <c r="BE58" s="305"/>
      <c r="BF58" s="304"/>
      <c r="BG58" s="305"/>
      <c r="BH58" s="310">
        <f t="shared" si="13"/>
        <v>1465200</v>
      </c>
    </row>
    <row r="59" spans="1:60" s="357" customFormat="1" ht="15" x14ac:dyDescent="0.25">
      <c r="A59" s="356">
        <v>57</v>
      </c>
      <c r="B59" s="343">
        <v>56</v>
      </c>
      <c r="C59" s="359" t="s">
        <v>264</v>
      </c>
      <c r="D59" s="363" t="s">
        <v>216</v>
      </c>
      <c r="E59" s="346" t="s">
        <v>217</v>
      </c>
      <c r="F59" s="346"/>
      <c r="G59" s="346"/>
      <c r="H59" s="346"/>
      <c r="I59" s="399" t="s">
        <v>288</v>
      </c>
      <c r="J59" s="346" t="s">
        <v>297</v>
      </c>
      <c r="K59" s="353">
        <f>SUM(1730000*100%)</f>
        <v>1730000</v>
      </c>
      <c r="L59" s="203">
        <v>300000</v>
      </c>
      <c r="M59" s="347">
        <v>100000</v>
      </c>
      <c r="N59" s="355">
        <f>K59*5/100</f>
        <v>86500</v>
      </c>
      <c r="O59" s="355">
        <f>K59*2*2/100</f>
        <v>69200</v>
      </c>
      <c r="P59" s="355">
        <f>P54</f>
        <v>32500</v>
      </c>
      <c r="Q59" s="346"/>
      <c r="R59" s="346">
        <v>5500</v>
      </c>
      <c r="S59" s="346">
        <v>22</v>
      </c>
      <c r="T59" s="348">
        <f t="shared" ref="T59:T75" si="95">R59*S59</f>
        <v>121000</v>
      </c>
      <c r="U59" s="346"/>
      <c r="V59" s="345">
        <f t="shared" si="0"/>
        <v>2439200</v>
      </c>
      <c r="W59" s="346"/>
      <c r="X59" s="346"/>
      <c r="Y59" s="346"/>
      <c r="Z59" s="346"/>
      <c r="AA59" s="346">
        <f t="shared" si="2"/>
        <v>0</v>
      </c>
      <c r="AB59" s="346">
        <v>8500</v>
      </c>
      <c r="AC59" s="346"/>
      <c r="AD59" s="346">
        <f t="shared" si="3"/>
        <v>0</v>
      </c>
      <c r="AE59" s="345"/>
      <c r="AF59" s="345">
        <f t="shared" si="4"/>
        <v>0</v>
      </c>
      <c r="AG59" s="347">
        <f t="shared" si="5"/>
        <v>5500</v>
      </c>
      <c r="AH59" s="346"/>
      <c r="AI59" s="348">
        <f t="shared" si="6"/>
        <v>0</v>
      </c>
      <c r="AJ59" s="361">
        <f>K59/22</f>
        <v>78636.363636363632</v>
      </c>
      <c r="AK59" s="346"/>
      <c r="AL59" s="346">
        <f t="shared" si="7"/>
        <v>0</v>
      </c>
      <c r="AM59" s="346"/>
      <c r="AN59" s="346"/>
      <c r="AO59" s="346">
        <f t="shared" si="8"/>
        <v>0</v>
      </c>
      <c r="AP59" s="346"/>
      <c r="AQ59" s="346"/>
      <c r="AR59" s="346">
        <f t="shared" si="9"/>
        <v>0</v>
      </c>
      <c r="AS59" s="348">
        <f t="shared" si="10"/>
        <v>0</v>
      </c>
      <c r="AT59" s="345">
        <f t="shared" si="11"/>
        <v>2439200</v>
      </c>
      <c r="AU59" s="346"/>
      <c r="AV59" s="347"/>
      <c r="AW59" s="351">
        <v>15000</v>
      </c>
      <c r="AX59" s="347">
        <f>22726+68178</f>
        <v>90904</v>
      </c>
      <c r="AY59" s="346">
        <v>200000</v>
      </c>
      <c r="AZ59" s="347"/>
      <c r="BA59" s="352">
        <f t="shared" si="12"/>
        <v>2133296</v>
      </c>
      <c r="BB59" s="346"/>
      <c r="BC59" s="347"/>
      <c r="BD59" s="351">
        <v>15000</v>
      </c>
      <c r="BE59" s="347">
        <f>24509+68178</f>
        <v>92687</v>
      </c>
      <c r="BF59" s="346">
        <v>200000</v>
      </c>
      <c r="BG59" s="347"/>
      <c r="BH59" s="352">
        <f t="shared" si="13"/>
        <v>2131513</v>
      </c>
    </row>
    <row r="60" spans="1:60" s="357" customFormat="1" ht="16.5" customHeight="1" x14ac:dyDescent="0.25">
      <c r="A60" s="356">
        <v>64</v>
      </c>
      <c r="B60" s="343">
        <v>57</v>
      </c>
      <c r="C60" s="359" t="s">
        <v>73</v>
      </c>
      <c r="D60" s="363" t="s">
        <v>218</v>
      </c>
      <c r="E60" s="346" t="s">
        <v>219</v>
      </c>
      <c r="F60" s="346"/>
      <c r="G60" s="346"/>
      <c r="H60" s="346"/>
      <c r="I60" s="362">
        <v>42933</v>
      </c>
      <c r="J60" s="346" t="s">
        <v>290</v>
      </c>
      <c r="K60" s="353">
        <f>SUM(1730000*100%)</f>
        <v>1730000</v>
      </c>
      <c r="L60" s="203">
        <v>100000</v>
      </c>
      <c r="M60" s="346">
        <v>50000</v>
      </c>
      <c r="N60" s="355">
        <f>K60*5/100</f>
        <v>86500</v>
      </c>
      <c r="O60" s="355">
        <f>K60*2*2/100</f>
        <v>69200</v>
      </c>
      <c r="P60" s="346">
        <v>32500</v>
      </c>
      <c r="Q60" s="346"/>
      <c r="R60" s="346">
        <v>9100</v>
      </c>
      <c r="S60" s="346">
        <v>22</v>
      </c>
      <c r="T60" s="348">
        <f t="shared" si="95"/>
        <v>200200</v>
      </c>
      <c r="U60" s="347">
        <f>8500*4*4</f>
        <v>136000</v>
      </c>
      <c r="V60" s="345">
        <f t="shared" si="0"/>
        <v>2404400</v>
      </c>
      <c r="W60" s="346"/>
      <c r="X60" s="347"/>
      <c r="Y60" s="346"/>
      <c r="Z60" s="346"/>
      <c r="AA60" s="346">
        <f t="shared" si="2"/>
        <v>0</v>
      </c>
      <c r="AB60" s="346">
        <v>8500</v>
      </c>
      <c r="AC60" s="346"/>
      <c r="AD60" s="346">
        <f t="shared" si="3"/>
        <v>0</v>
      </c>
      <c r="AE60" s="345"/>
      <c r="AF60" s="345">
        <f t="shared" si="4"/>
        <v>0</v>
      </c>
      <c r="AG60" s="347">
        <f t="shared" si="5"/>
        <v>9100</v>
      </c>
      <c r="AH60" s="346"/>
      <c r="AI60" s="348">
        <f t="shared" si="6"/>
        <v>0</v>
      </c>
      <c r="AJ60" s="347">
        <f>K60/22</f>
        <v>78636.363636363632</v>
      </c>
      <c r="AK60" s="346"/>
      <c r="AL60" s="346">
        <f t="shared" si="7"/>
        <v>0</v>
      </c>
      <c r="AM60" s="346"/>
      <c r="AN60" s="346"/>
      <c r="AO60" s="346">
        <f t="shared" si="8"/>
        <v>0</v>
      </c>
      <c r="AP60" s="346"/>
      <c r="AQ60" s="346"/>
      <c r="AR60" s="346">
        <f t="shared" si="9"/>
        <v>0</v>
      </c>
      <c r="AS60" s="348">
        <f t="shared" si="10"/>
        <v>0</v>
      </c>
      <c r="AT60" s="345">
        <f t="shared" si="11"/>
        <v>2404400</v>
      </c>
      <c r="AU60" s="346"/>
      <c r="AV60" s="347"/>
      <c r="AW60" s="351">
        <v>15000</v>
      </c>
      <c r="AX60" s="347">
        <v>22726</v>
      </c>
      <c r="AY60" s="346">
        <v>200000</v>
      </c>
      <c r="AZ60" s="347">
        <f>440000</f>
        <v>440000</v>
      </c>
      <c r="BA60" s="352">
        <f t="shared" si="12"/>
        <v>1726674</v>
      </c>
      <c r="BB60" s="346"/>
      <c r="BC60" s="347">
        <v>565000</v>
      </c>
      <c r="BD60" s="351">
        <v>15000</v>
      </c>
      <c r="BE60" s="347">
        <v>24509</v>
      </c>
      <c r="BF60" s="346">
        <v>200000</v>
      </c>
      <c r="BG60" s="347">
        <f>220000+220000</f>
        <v>440000</v>
      </c>
      <c r="BH60" s="352">
        <f t="shared" si="13"/>
        <v>1159891</v>
      </c>
    </row>
    <row r="61" spans="1:60" s="357" customFormat="1" ht="15" x14ac:dyDescent="0.25">
      <c r="A61" s="356">
        <v>58</v>
      </c>
      <c r="B61" s="343">
        <v>58</v>
      </c>
      <c r="C61" s="359" t="s">
        <v>132</v>
      </c>
      <c r="D61" s="354" t="s">
        <v>222</v>
      </c>
      <c r="E61" s="346" t="s">
        <v>71</v>
      </c>
      <c r="F61" s="346"/>
      <c r="G61" s="346"/>
      <c r="H61" s="346"/>
      <c r="I61" s="362">
        <v>41470</v>
      </c>
      <c r="J61" s="346" t="s">
        <v>296</v>
      </c>
      <c r="K61" s="353">
        <f>SUM(1730000*100%)</f>
        <v>1730000</v>
      </c>
      <c r="L61" s="203"/>
      <c r="M61" s="347">
        <v>100000</v>
      </c>
      <c r="N61" s="355">
        <f t="shared" ref="N61:N62" si="96">K61*5/100</f>
        <v>86500</v>
      </c>
      <c r="O61" s="355">
        <f t="shared" ref="O61" si="97">K61*2*2/100</f>
        <v>69200</v>
      </c>
      <c r="P61" s="346">
        <v>32500</v>
      </c>
      <c r="Q61" s="346"/>
      <c r="R61" s="346">
        <v>5500</v>
      </c>
      <c r="S61" s="346">
        <v>22</v>
      </c>
      <c r="T61" s="348">
        <f t="shared" ref="T61" si="98">R61*S61</f>
        <v>121000</v>
      </c>
      <c r="U61" s="346"/>
      <c r="V61" s="345">
        <f t="shared" si="0"/>
        <v>2139200</v>
      </c>
      <c r="W61" s="346"/>
      <c r="X61" s="347"/>
      <c r="Y61" s="346"/>
      <c r="Z61" s="346"/>
      <c r="AA61" s="346">
        <f t="shared" si="2"/>
        <v>0</v>
      </c>
      <c r="AB61" s="346">
        <v>8500</v>
      </c>
      <c r="AC61" s="346"/>
      <c r="AD61" s="346">
        <f t="shared" si="3"/>
        <v>0</v>
      </c>
      <c r="AE61" s="345"/>
      <c r="AF61" s="345">
        <f t="shared" si="4"/>
        <v>0</v>
      </c>
      <c r="AG61" s="347">
        <f t="shared" si="5"/>
        <v>5500</v>
      </c>
      <c r="AH61" s="346"/>
      <c r="AI61" s="348">
        <f t="shared" si="6"/>
        <v>0</v>
      </c>
      <c r="AJ61" s="355">
        <f>K61/22</f>
        <v>78636.363636363632</v>
      </c>
      <c r="AK61" s="346"/>
      <c r="AL61" s="346">
        <f t="shared" si="7"/>
        <v>0</v>
      </c>
      <c r="AM61" s="346"/>
      <c r="AN61" s="346"/>
      <c r="AO61" s="346">
        <f t="shared" si="8"/>
        <v>0</v>
      </c>
      <c r="AP61" s="346"/>
      <c r="AQ61" s="346"/>
      <c r="AR61" s="346">
        <f t="shared" si="9"/>
        <v>0</v>
      </c>
      <c r="AS61" s="348">
        <f t="shared" si="10"/>
        <v>0</v>
      </c>
      <c r="AT61" s="345">
        <f t="shared" si="11"/>
        <v>2139200</v>
      </c>
      <c r="AU61" s="346"/>
      <c r="AV61" s="347">
        <v>805000</v>
      </c>
      <c r="AW61" s="351">
        <v>15000</v>
      </c>
      <c r="AX61" s="347">
        <v>22726</v>
      </c>
      <c r="AY61" s="346">
        <v>100000</v>
      </c>
      <c r="AZ61" s="347"/>
      <c r="BA61" s="352">
        <f t="shared" si="12"/>
        <v>1196474</v>
      </c>
      <c r="BB61" s="346"/>
      <c r="BC61" s="347">
        <v>790500</v>
      </c>
      <c r="BD61" s="351">
        <v>15000</v>
      </c>
      <c r="BE61" s="347">
        <v>24509</v>
      </c>
      <c r="BF61" s="346">
        <v>100000</v>
      </c>
      <c r="BG61" s="347"/>
      <c r="BH61" s="352">
        <f t="shared" si="13"/>
        <v>1209191</v>
      </c>
    </row>
    <row r="62" spans="1:60" s="357" customFormat="1" ht="15" customHeight="1" x14ac:dyDescent="0.25">
      <c r="A62" s="356">
        <v>61</v>
      </c>
      <c r="B62" s="343">
        <v>59</v>
      </c>
      <c r="C62" s="359" t="s">
        <v>72</v>
      </c>
      <c r="D62" s="363" t="s">
        <v>221</v>
      </c>
      <c r="E62" s="346" t="s">
        <v>71</v>
      </c>
      <c r="F62" s="346"/>
      <c r="G62" s="346"/>
      <c r="H62" s="346"/>
      <c r="I62" s="362">
        <v>42614</v>
      </c>
      <c r="J62" s="346" t="s">
        <v>300</v>
      </c>
      <c r="K62" s="353">
        <f>SUM(1730000*100%)</f>
        <v>1730000</v>
      </c>
      <c r="L62" s="203"/>
      <c r="M62" s="347">
        <v>100000</v>
      </c>
      <c r="N62" s="355">
        <f t="shared" si="96"/>
        <v>86500</v>
      </c>
      <c r="O62" s="349">
        <f>K62*2/100</f>
        <v>34600</v>
      </c>
      <c r="P62" s="346">
        <v>32500</v>
      </c>
      <c r="Q62" s="346"/>
      <c r="R62" s="346">
        <v>5500</v>
      </c>
      <c r="S62" s="346">
        <v>22</v>
      </c>
      <c r="T62" s="348">
        <f t="shared" si="95"/>
        <v>121000</v>
      </c>
      <c r="U62" s="347"/>
      <c r="V62" s="345">
        <f t="shared" si="0"/>
        <v>2104600</v>
      </c>
      <c r="W62" s="346"/>
      <c r="X62" s="346"/>
      <c r="Y62" s="346"/>
      <c r="Z62" s="346"/>
      <c r="AA62" s="346">
        <f t="shared" si="2"/>
        <v>0</v>
      </c>
      <c r="AB62" s="346"/>
      <c r="AC62" s="346"/>
      <c r="AD62" s="346">
        <f t="shared" si="3"/>
        <v>0</v>
      </c>
      <c r="AE62" s="345"/>
      <c r="AF62" s="345">
        <f t="shared" si="4"/>
        <v>0</v>
      </c>
      <c r="AG62" s="347">
        <f t="shared" si="5"/>
        <v>5500</v>
      </c>
      <c r="AH62" s="346"/>
      <c r="AI62" s="348">
        <f t="shared" si="6"/>
        <v>0</v>
      </c>
      <c r="AJ62" s="355">
        <f>K62/22</f>
        <v>78636.363636363632</v>
      </c>
      <c r="AK62" s="346"/>
      <c r="AL62" s="346">
        <f t="shared" si="7"/>
        <v>0</v>
      </c>
      <c r="AM62" s="346"/>
      <c r="AN62" s="346"/>
      <c r="AO62" s="346">
        <f t="shared" si="8"/>
        <v>0</v>
      </c>
      <c r="AP62" s="346"/>
      <c r="AQ62" s="346"/>
      <c r="AR62" s="346">
        <f t="shared" si="9"/>
        <v>0</v>
      </c>
      <c r="AS62" s="348">
        <f t="shared" si="10"/>
        <v>0</v>
      </c>
      <c r="AT62" s="345">
        <f t="shared" si="11"/>
        <v>2104600</v>
      </c>
      <c r="AU62" s="346"/>
      <c r="AV62" s="347"/>
      <c r="AW62" s="351">
        <v>15000</v>
      </c>
      <c r="AX62" s="347"/>
      <c r="AY62" s="350"/>
      <c r="AZ62" s="347"/>
      <c r="BA62" s="352">
        <f t="shared" si="12"/>
        <v>2089600</v>
      </c>
      <c r="BB62" s="346"/>
      <c r="BC62" s="347"/>
      <c r="BD62" s="351">
        <v>15000</v>
      </c>
      <c r="BE62" s="347"/>
      <c r="BF62" s="350"/>
      <c r="BG62" s="347"/>
      <c r="BH62" s="352">
        <f t="shared" si="13"/>
        <v>2089600</v>
      </c>
    </row>
    <row r="63" spans="1:60" s="357" customFormat="1" ht="15" x14ac:dyDescent="0.25">
      <c r="A63" s="356">
        <v>63</v>
      </c>
      <c r="B63" s="343">
        <v>60</v>
      </c>
      <c r="C63" s="359" t="s">
        <v>265</v>
      </c>
      <c r="D63" s="363" t="s">
        <v>223</v>
      </c>
      <c r="E63" s="346" t="s">
        <v>71</v>
      </c>
      <c r="F63" s="346"/>
      <c r="G63" s="346"/>
      <c r="H63" s="346"/>
      <c r="I63" s="362">
        <v>42933</v>
      </c>
      <c r="J63" s="346" t="s">
        <v>290</v>
      </c>
      <c r="K63" s="353">
        <f>SUM(1730000*100%)</f>
        <v>1730000</v>
      </c>
      <c r="L63" s="203"/>
      <c r="M63" s="346">
        <v>50000</v>
      </c>
      <c r="N63" s="355">
        <f>K63*5/100</f>
        <v>86500</v>
      </c>
      <c r="O63" s="355">
        <v>0</v>
      </c>
      <c r="P63" s="346">
        <v>32500</v>
      </c>
      <c r="Q63" s="346"/>
      <c r="R63" s="346">
        <v>11000</v>
      </c>
      <c r="S63" s="346">
        <v>22</v>
      </c>
      <c r="T63" s="348">
        <f t="shared" si="95"/>
        <v>242000</v>
      </c>
      <c r="U63" s="347"/>
      <c r="V63" s="345">
        <f t="shared" si="0"/>
        <v>2141000</v>
      </c>
      <c r="W63" s="346"/>
      <c r="X63" s="346"/>
      <c r="Y63" s="346"/>
      <c r="Z63" s="346"/>
      <c r="AA63" s="346">
        <f t="shared" si="2"/>
        <v>0</v>
      </c>
      <c r="AB63" s="346">
        <v>8500</v>
      </c>
      <c r="AC63" s="346"/>
      <c r="AD63" s="346">
        <f t="shared" si="3"/>
        <v>0</v>
      </c>
      <c r="AE63" s="345"/>
      <c r="AF63" s="345">
        <f t="shared" si="4"/>
        <v>0</v>
      </c>
      <c r="AG63" s="347">
        <f t="shared" si="5"/>
        <v>11000</v>
      </c>
      <c r="AH63" s="346"/>
      <c r="AI63" s="348">
        <f t="shared" si="6"/>
        <v>0</v>
      </c>
      <c r="AJ63" s="355">
        <f t="shared" ref="AJ63:AJ69" si="99">K63/22</f>
        <v>78636.363636363632</v>
      </c>
      <c r="AK63" s="346"/>
      <c r="AL63" s="346">
        <f t="shared" si="7"/>
        <v>0</v>
      </c>
      <c r="AM63" s="346"/>
      <c r="AN63" s="346"/>
      <c r="AO63" s="346">
        <f t="shared" si="8"/>
        <v>0</v>
      </c>
      <c r="AP63" s="346"/>
      <c r="AQ63" s="346"/>
      <c r="AR63" s="346">
        <f t="shared" si="9"/>
        <v>0</v>
      </c>
      <c r="AS63" s="348">
        <f t="shared" si="10"/>
        <v>0</v>
      </c>
      <c r="AT63" s="345">
        <f t="shared" si="11"/>
        <v>2141000</v>
      </c>
      <c r="AU63" s="346"/>
      <c r="AV63" s="347">
        <v>941500</v>
      </c>
      <c r="AW63" s="351">
        <v>15000</v>
      </c>
      <c r="AX63" s="347"/>
      <c r="AY63" s="346">
        <v>300000</v>
      </c>
      <c r="AZ63" s="347"/>
      <c r="BA63" s="352">
        <f t="shared" si="12"/>
        <v>884500</v>
      </c>
      <c r="BB63" s="346"/>
      <c r="BC63" s="347">
        <v>0</v>
      </c>
      <c r="BD63" s="351">
        <v>15000</v>
      </c>
      <c r="BE63" s="347"/>
      <c r="BF63" s="346">
        <v>100000</v>
      </c>
      <c r="BG63" s="347"/>
      <c r="BH63" s="352">
        <f t="shared" si="13"/>
        <v>2026000</v>
      </c>
    </row>
    <row r="64" spans="1:60" s="357" customFormat="1" ht="15.75" customHeight="1" x14ac:dyDescent="0.25">
      <c r="A64" s="356">
        <v>60</v>
      </c>
      <c r="B64" s="343">
        <v>61</v>
      </c>
      <c r="C64" s="359" t="s">
        <v>266</v>
      </c>
      <c r="D64" s="363" t="s">
        <v>224</v>
      </c>
      <c r="E64" s="346" t="s">
        <v>71</v>
      </c>
      <c r="F64" s="346"/>
      <c r="G64" s="346"/>
      <c r="H64" s="346"/>
      <c r="I64" s="362">
        <v>42212</v>
      </c>
      <c r="J64" s="346" t="s">
        <v>297</v>
      </c>
      <c r="K64" s="353">
        <f t="shared" ref="K64:K67" si="100">SUM(1730000*100%)</f>
        <v>1730000</v>
      </c>
      <c r="L64" s="203"/>
      <c r="M64" s="347">
        <v>100000</v>
      </c>
      <c r="N64" s="355">
        <f>N62</f>
        <v>86500</v>
      </c>
      <c r="O64" s="355">
        <f>K64*2/100*2</f>
        <v>69200</v>
      </c>
      <c r="P64" s="355">
        <f>P62</f>
        <v>32500</v>
      </c>
      <c r="Q64" s="346"/>
      <c r="R64" s="346">
        <v>13000</v>
      </c>
      <c r="S64" s="346">
        <v>22</v>
      </c>
      <c r="T64" s="348">
        <f t="shared" si="95"/>
        <v>286000</v>
      </c>
      <c r="U64" s="347">
        <f>8500*4*4</f>
        <v>136000</v>
      </c>
      <c r="V64" s="345">
        <f t="shared" si="0"/>
        <v>2440200</v>
      </c>
      <c r="W64" s="346"/>
      <c r="X64" s="346"/>
      <c r="Y64" s="346"/>
      <c r="Z64" s="346"/>
      <c r="AA64" s="346">
        <f t="shared" si="2"/>
        <v>0</v>
      </c>
      <c r="AB64" s="346">
        <v>8500</v>
      </c>
      <c r="AC64" s="346"/>
      <c r="AD64" s="346">
        <f t="shared" si="3"/>
        <v>0</v>
      </c>
      <c r="AE64" s="345"/>
      <c r="AF64" s="345">
        <f t="shared" si="4"/>
        <v>0</v>
      </c>
      <c r="AG64" s="347">
        <f t="shared" si="5"/>
        <v>13000</v>
      </c>
      <c r="AH64" s="346"/>
      <c r="AI64" s="348">
        <f t="shared" si="6"/>
        <v>0</v>
      </c>
      <c r="AJ64" s="355">
        <f t="shared" si="99"/>
        <v>78636.363636363632</v>
      </c>
      <c r="AK64" s="346"/>
      <c r="AL64" s="346">
        <f t="shared" si="7"/>
        <v>0</v>
      </c>
      <c r="AM64" s="346"/>
      <c r="AN64" s="346"/>
      <c r="AO64" s="346">
        <f t="shared" si="8"/>
        <v>0</v>
      </c>
      <c r="AP64" s="346"/>
      <c r="AQ64" s="346"/>
      <c r="AR64" s="346">
        <f t="shared" si="9"/>
        <v>0</v>
      </c>
      <c r="AS64" s="348">
        <f t="shared" si="10"/>
        <v>0</v>
      </c>
      <c r="AT64" s="345">
        <f t="shared" si="11"/>
        <v>2440200</v>
      </c>
      <c r="AU64" s="346"/>
      <c r="AV64" s="347">
        <v>664500</v>
      </c>
      <c r="AW64" s="351">
        <v>15000</v>
      </c>
      <c r="AX64" s="347">
        <v>68178</v>
      </c>
      <c r="AY64" s="350">
        <v>200000</v>
      </c>
      <c r="AZ64" s="347"/>
      <c r="BA64" s="352">
        <f t="shared" si="12"/>
        <v>1492522</v>
      </c>
      <c r="BB64" s="346"/>
      <c r="BC64" s="347">
        <v>664500</v>
      </c>
      <c r="BD64" s="351">
        <v>15000</v>
      </c>
      <c r="BE64" s="347">
        <v>68178</v>
      </c>
      <c r="BF64" s="350">
        <v>100000</v>
      </c>
      <c r="BG64" s="347">
        <v>250000</v>
      </c>
      <c r="BH64" s="352">
        <f t="shared" si="13"/>
        <v>1342522</v>
      </c>
    </row>
    <row r="65" spans="1:60" s="357" customFormat="1" ht="15" x14ac:dyDescent="0.25">
      <c r="A65" s="356">
        <v>68</v>
      </c>
      <c r="B65" s="343">
        <v>62</v>
      </c>
      <c r="C65" s="359" t="s">
        <v>267</v>
      </c>
      <c r="D65" s="400" t="s">
        <v>225</v>
      </c>
      <c r="E65" s="346" t="s">
        <v>71</v>
      </c>
      <c r="F65" s="346"/>
      <c r="G65" s="346"/>
      <c r="H65" s="346"/>
      <c r="I65" s="358" t="s">
        <v>281</v>
      </c>
      <c r="J65" s="346" t="s">
        <v>292</v>
      </c>
      <c r="K65" s="353">
        <f t="shared" si="100"/>
        <v>1730000</v>
      </c>
      <c r="L65" s="203"/>
      <c r="M65" s="346">
        <v>50000</v>
      </c>
      <c r="N65" s="355">
        <f>N63</f>
        <v>86500</v>
      </c>
      <c r="O65" s="355"/>
      <c r="P65" s="355">
        <f>P63</f>
        <v>32500</v>
      </c>
      <c r="Q65" s="346"/>
      <c r="R65" s="346">
        <v>11000</v>
      </c>
      <c r="S65" s="346">
        <v>22</v>
      </c>
      <c r="T65" s="348">
        <f t="shared" si="95"/>
        <v>242000</v>
      </c>
      <c r="U65" s="347">
        <f>8500*2*4</f>
        <v>68000</v>
      </c>
      <c r="V65" s="345">
        <f t="shared" si="0"/>
        <v>2209000</v>
      </c>
      <c r="W65" s="346"/>
      <c r="X65" s="346"/>
      <c r="Y65" s="346"/>
      <c r="Z65" s="346"/>
      <c r="AA65" s="346">
        <f t="shared" si="2"/>
        <v>0</v>
      </c>
      <c r="AB65" s="346">
        <v>8500</v>
      </c>
      <c r="AC65" s="346"/>
      <c r="AD65" s="346">
        <f t="shared" si="3"/>
        <v>0</v>
      </c>
      <c r="AE65" s="345"/>
      <c r="AF65" s="345">
        <f t="shared" si="4"/>
        <v>0</v>
      </c>
      <c r="AG65" s="347">
        <f t="shared" si="5"/>
        <v>11000</v>
      </c>
      <c r="AH65" s="346"/>
      <c r="AI65" s="348">
        <f t="shared" si="6"/>
        <v>0</v>
      </c>
      <c r="AJ65" s="355">
        <f t="shared" si="99"/>
        <v>78636.363636363632</v>
      </c>
      <c r="AK65" s="346"/>
      <c r="AL65" s="346">
        <f t="shared" si="7"/>
        <v>0</v>
      </c>
      <c r="AM65" s="346"/>
      <c r="AN65" s="346"/>
      <c r="AO65" s="346">
        <f t="shared" si="8"/>
        <v>0</v>
      </c>
      <c r="AP65" s="346"/>
      <c r="AQ65" s="346"/>
      <c r="AR65" s="346">
        <f t="shared" si="9"/>
        <v>0</v>
      </c>
      <c r="AS65" s="348">
        <f t="shared" si="10"/>
        <v>0</v>
      </c>
      <c r="AT65" s="345">
        <f t="shared" si="11"/>
        <v>2209000</v>
      </c>
      <c r="AU65" s="346"/>
      <c r="AV65" s="347"/>
      <c r="AW65" s="351">
        <v>15000</v>
      </c>
      <c r="AX65" s="347"/>
      <c r="AY65" s="347">
        <v>100000</v>
      </c>
      <c r="AZ65" s="347"/>
      <c r="BA65" s="352">
        <f t="shared" si="12"/>
        <v>2094000</v>
      </c>
      <c r="BB65" s="346"/>
      <c r="BC65" s="347">
        <v>941500</v>
      </c>
      <c r="BD65" s="351">
        <v>15000</v>
      </c>
      <c r="BE65" s="347"/>
      <c r="BF65" s="347">
        <v>100000</v>
      </c>
      <c r="BG65" s="347"/>
      <c r="BH65" s="352">
        <f t="shared" si="13"/>
        <v>1152500</v>
      </c>
    </row>
    <row r="66" spans="1:60" s="357" customFormat="1" ht="14.1" customHeight="1" x14ac:dyDescent="0.25">
      <c r="A66" s="356">
        <v>65</v>
      </c>
      <c r="B66" s="343">
        <v>63</v>
      </c>
      <c r="C66" s="359" t="s">
        <v>268</v>
      </c>
      <c r="D66" s="363" t="s">
        <v>226</v>
      </c>
      <c r="E66" s="346" t="s">
        <v>71</v>
      </c>
      <c r="F66" s="346"/>
      <c r="G66" s="346"/>
      <c r="H66" s="346"/>
      <c r="I66" s="362">
        <v>42933</v>
      </c>
      <c r="J66" s="346" t="s">
        <v>290</v>
      </c>
      <c r="K66" s="353">
        <f t="shared" si="100"/>
        <v>1730000</v>
      </c>
      <c r="L66" s="203"/>
      <c r="M66" s="346">
        <v>50000</v>
      </c>
      <c r="N66" s="355">
        <f>K66*5/100</f>
        <v>86500</v>
      </c>
      <c r="O66" s="355">
        <f t="shared" ref="O66" si="101">K66*2/100</f>
        <v>34600</v>
      </c>
      <c r="P66" s="346">
        <v>32500</v>
      </c>
      <c r="Q66" s="346"/>
      <c r="R66" s="346">
        <v>3700</v>
      </c>
      <c r="S66" s="346">
        <v>22</v>
      </c>
      <c r="T66" s="348">
        <f t="shared" si="95"/>
        <v>81400</v>
      </c>
      <c r="U66" s="347"/>
      <c r="V66" s="345">
        <f t="shared" si="0"/>
        <v>2015000</v>
      </c>
      <c r="W66" s="346"/>
      <c r="X66" s="203"/>
      <c r="Y66" s="346"/>
      <c r="Z66" s="346"/>
      <c r="AA66" s="346">
        <f t="shared" si="2"/>
        <v>0</v>
      </c>
      <c r="AB66" s="346">
        <v>8500</v>
      </c>
      <c r="AC66" s="346"/>
      <c r="AD66" s="346">
        <f t="shared" si="3"/>
        <v>0</v>
      </c>
      <c r="AE66" s="345"/>
      <c r="AF66" s="345">
        <f t="shared" si="4"/>
        <v>0</v>
      </c>
      <c r="AG66" s="347">
        <f t="shared" si="5"/>
        <v>3700</v>
      </c>
      <c r="AH66" s="346"/>
      <c r="AI66" s="348">
        <f t="shared" si="6"/>
        <v>0</v>
      </c>
      <c r="AJ66" s="355">
        <f t="shared" si="99"/>
        <v>78636.363636363632</v>
      </c>
      <c r="AK66" s="346"/>
      <c r="AL66" s="346">
        <f t="shared" si="7"/>
        <v>0</v>
      </c>
      <c r="AM66" s="346"/>
      <c r="AN66" s="346"/>
      <c r="AO66" s="346">
        <f t="shared" si="8"/>
        <v>0</v>
      </c>
      <c r="AP66" s="346"/>
      <c r="AQ66" s="346"/>
      <c r="AR66" s="346">
        <f t="shared" si="9"/>
        <v>0</v>
      </c>
      <c r="AS66" s="348">
        <f t="shared" si="10"/>
        <v>0</v>
      </c>
      <c r="AT66" s="345">
        <f t="shared" si="11"/>
        <v>2015000</v>
      </c>
      <c r="AU66" s="346"/>
      <c r="AV66" s="347"/>
      <c r="AW66" s="351">
        <v>15000</v>
      </c>
      <c r="AX66" s="347"/>
      <c r="AY66" s="350">
        <v>200000</v>
      </c>
      <c r="AZ66" s="347"/>
      <c r="BA66" s="352">
        <f t="shared" si="12"/>
        <v>1800000</v>
      </c>
      <c r="BB66" s="346"/>
      <c r="BC66" s="347"/>
      <c r="BD66" s="351">
        <v>15000</v>
      </c>
      <c r="BE66" s="347"/>
      <c r="BF66" s="350">
        <v>100000</v>
      </c>
      <c r="BG66" s="347"/>
      <c r="BH66" s="352">
        <f t="shared" si="13"/>
        <v>1900000</v>
      </c>
    </row>
    <row r="67" spans="1:60" s="357" customFormat="1" ht="15" x14ac:dyDescent="0.25">
      <c r="A67" s="356">
        <v>67</v>
      </c>
      <c r="B67" s="343">
        <v>64</v>
      </c>
      <c r="C67" s="359" t="s">
        <v>263</v>
      </c>
      <c r="D67" s="364" t="s">
        <v>227</v>
      </c>
      <c r="E67" s="346" t="s">
        <v>71</v>
      </c>
      <c r="F67" s="346"/>
      <c r="G67" s="346"/>
      <c r="H67" s="346"/>
      <c r="I67" s="362" t="s">
        <v>280</v>
      </c>
      <c r="J67" s="346" t="s">
        <v>291</v>
      </c>
      <c r="K67" s="353">
        <f t="shared" si="100"/>
        <v>1730000</v>
      </c>
      <c r="L67" s="203"/>
      <c r="M67" s="346">
        <v>50000</v>
      </c>
      <c r="N67" s="355">
        <f>K67*5/100</f>
        <v>86500</v>
      </c>
      <c r="O67" s="355">
        <f>K67*2*2/100</f>
        <v>69200</v>
      </c>
      <c r="P67" s="346">
        <v>32500</v>
      </c>
      <c r="Q67" s="346"/>
      <c r="R67" s="346">
        <v>5500</v>
      </c>
      <c r="S67" s="346">
        <v>22</v>
      </c>
      <c r="T67" s="348">
        <f t="shared" si="95"/>
        <v>121000</v>
      </c>
      <c r="U67" s="347"/>
      <c r="V67" s="345">
        <f t="shared" ref="V67:V121" si="102">K67+L67+M67+N67+O67+P67+Q67+T67+U67</f>
        <v>2089200</v>
      </c>
      <c r="W67" s="346"/>
      <c r="X67" s="203"/>
      <c r="Y67" s="346"/>
      <c r="Z67" s="346"/>
      <c r="AA67" s="346">
        <f t="shared" si="2"/>
        <v>0</v>
      </c>
      <c r="AB67" s="346">
        <v>8500</v>
      </c>
      <c r="AC67" s="346"/>
      <c r="AD67" s="346">
        <f t="shared" si="3"/>
        <v>0</v>
      </c>
      <c r="AE67" s="345"/>
      <c r="AF67" s="345">
        <f t="shared" si="4"/>
        <v>0</v>
      </c>
      <c r="AG67" s="347">
        <f t="shared" si="5"/>
        <v>5500</v>
      </c>
      <c r="AH67" s="346"/>
      <c r="AI67" s="348">
        <f t="shared" si="6"/>
        <v>0</v>
      </c>
      <c r="AJ67" s="355">
        <f t="shared" si="99"/>
        <v>78636.363636363632</v>
      </c>
      <c r="AK67" s="346"/>
      <c r="AL67" s="346">
        <f t="shared" si="7"/>
        <v>0</v>
      </c>
      <c r="AM67" s="346"/>
      <c r="AN67" s="346"/>
      <c r="AO67" s="346">
        <f t="shared" si="8"/>
        <v>0</v>
      </c>
      <c r="AP67" s="346"/>
      <c r="AQ67" s="346"/>
      <c r="AR67" s="346">
        <f t="shared" si="9"/>
        <v>0</v>
      </c>
      <c r="AS67" s="348">
        <f t="shared" si="10"/>
        <v>0</v>
      </c>
      <c r="AT67" s="345">
        <f t="shared" si="11"/>
        <v>2089200</v>
      </c>
      <c r="AU67" s="346"/>
      <c r="AV67" s="347"/>
      <c r="AW67" s="351">
        <v>15000</v>
      </c>
      <c r="AX67" s="347"/>
      <c r="AY67" s="350"/>
      <c r="AZ67" s="347"/>
      <c r="BA67" s="352">
        <f t="shared" si="12"/>
        <v>2074200</v>
      </c>
      <c r="BB67" s="346"/>
      <c r="BC67" s="347">
        <v>706500</v>
      </c>
      <c r="BD67" s="351">
        <v>15000</v>
      </c>
      <c r="BE67" s="347"/>
      <c r="BF67" s="350"/>
      <c r="BG67" s="347"/>
      <c r="BH67" s="352">
        <f t="shared" si="13"/>
        <v>1367700</v>
      </c>
    </row>
    <row r="68" spans="1:60" s="357" customFormat="1" ht="17.25" customHeight="1" x14ac:dyDescent="0.25">
      <c r="A68" s="356">
        <v>69</v>
      </c>
      <c r="B68" s="343">
        <v>65</v>
      </c>
      <c r="C68" s="359" t="s">
        <v>270</v>
      </c>
      <c r="D68" s="400" t="s">
        <v>228</v>
      </c>
      <c r="E68" s="346" t="s">
        <v>71</v>
      </c>
      <c r="F68" s="346"/>
      <c r="G68" s="346"/>
      <c r="H68" s="346"/>
      <c r="I68" s="358" t="s">
        <v>281</v>
      </c>
      <c r="J68" s="346" t="s">
        <v>292</v>
      </c>
      <c r="K68" s="353">
        <f t="shared" ref="K68:K69" si="103">SUM(1730000*100%)</f>
        <v>1730000</v>
      </c>
      <c r="L68" s="203"/>
      <c r="M68" s="346">
        <v>50000</v>
      </c>
      <c r="N68" s="355">
        <f t="shared" ref="N68:N69" si="104">K68*5/100</f>
        <v>86500</v>
      </c>
      <c r="O68" s="346"/>
      <c r="P68" s="346">
        <v>32500</v>
      </c>
      <c r="Q68" s="346"/>
      <c r="R68" s="346">
        <v>13000</v>
      </c>
      <c r="S68" s="346">
        <v>22</v>
      </c>
      <c r="T68" s="348">
        <f t="shared" si="95"/>
        <v>286000</v>
      </c>
      <c r="U68" s="347"/>
      <c r="V68" s="345">
        <f t="shared" si="102"/>
        <v>2185000</v>
      </c>
      <c r="W68" s="346"/>
      <c r="X68" s="203"/>
      <c r="Y68" s="346">
        <v>12500</v>
      </c>
      <c r="Z68" s="346"/>
      <c r="AA68" s="346">
        <f t="shared" ref="AA68:AA121" si="105">Y68*Z68</f>
        <v>0</v>
      </c>
      <c r="AB68" s="346">
        <v>8500</v>
      </c>
      <c r="AC68" s="346"/>
      <c r="AD68" s="346">
        <f t="shared" ref="AD68:AD121" si="106">AB68*AC68</f>
        <v>0</v>
      </c>
      <c r="AE68" s="345"/>
      <c r="AF68" s="345">
        <f t="shared" ref="AF68:AF121" si="107">X68+AA68+AD68+AE68</f>
        <v>0</v>
      </c>
      <c r="AG68" s="347">
        <f t="shared" ref="AG68:AG121" si="108">R68</f>
        <v>13000</v>
      </c>
      <c r="AH68" s="346"/>
      <c r="AI68" s="348">
        <f t="shared" ref="AI68:AI121" si="109">AG68*AH68</f>
        <v>0</v>
      </c>
      <c r="AJ68" s="355">
        <f t="shared" si="99"/>
        <v>78636.363636363632</v>
      </c>
      <c r="AK68" s="346"/>
      <c r="AL68" s="346">
        <f t="shared" ref="AL68:AL121" si="110">AJ68*AK68</f>
        <v>0</v>
      </c>
      <c r="AM68" s="346"/>
      <c r="AN68" s="346"/>
      <c r="AO68" s="346">
        <f t="shared" ref="AO68:AO120" si="111">AM68*AN68</f>
        <v>0</v>
      </c>
      <c r="AP68" s="346"/>
      <c r="AQ68" s="346"/>
      <c r="AR68" s="346">
        <f t="shared" ref="AR68:AR120" si="112">AP68*AQ68</f>
        <v>0</v>
      </c>
      <c r="AS68" s="348">
        <f t="shared" ref="AS68:AS121" si="113">AI68+AL68+AO68+AR68</f>
        <v>0</v>
      </c>
      <c r="AT68" s="345">
        <f t="shared" ref="AT68:AT120" si="114">V68+AF68-AS68</f>
        <v>2185000</v>
      </c>
      <c r="AU68" s="346"/>
      <c r="AV68" s="347"/>
      <c r="AW68" s="351">
        <v>15000</v>
      </c>
      <c r="AX68" s="347"/>
      <c r="AY68" s="350">
        <v>200000</v>
      </c>
      <c r="AZ68" s="347"/>
      <c r="BA68" s="352">
        <f t="shared" ref="BA68:BA120" si="115">AT68-AU68-AV68-AW68-AX68-AY68-AZ68</f>
        <v>1970000</v>
      </c>
      <c r="BB68" s="346"/>
      <c r="BC68" s="347">
        <v>790500</v>
      </c>
      <c r="BD68" s="351">
        <v>15000</v>
      </c>
      <c r="BE68" s="347"/>
      <c r="BF68" s="350"/>
      <c r="BG68" s="347"/>
      <c r="BH68" s="352">
        <f t="shared" ref="BH68:BH120" si="116">AT68-BB68-BC68-BD68-BE68-BF68-BG68</f>
        <v>1379500</v>
      </c>
    </row>
    <row r="69" spans="1:60" s="357" customFormat="1" ht="15" x14ac:dyDescent="0.25">
      <c r="A69" s="356">
        <v>70</v>
      </c>
      <c r="B69" s="343">
        <v>66</v>
      </c>
      <c r="C69" s="359" t="s">
        <v>269</v>
      </c>
      <c r="D69" s="400" t="s">
        <v>229</v>
      </c>
      <c r="E69" s="346" t="s">
        <v>71</v>
      </c>
      <c r="F69" s="346"/>
      <c r="G69" s="346"/>
      <c r="H69" s="346"/>
      <c r="I69" s="358" t="s">
        <v>281</v>
      </c>
      <c r="J69" s="346" t="s">
        <v>292</v>
      </c>
      <c r="K69" s="353">
        <f t="shared" si="103"/>
        <v>1730000</v>
      </c>
      <c r="L69" s="203"/>
      <c r="M69" s="346">
        <v>50000</v>
      </c>
      <c r="N69" s="355">
        <f t="shared" si="104"/>
        <v>86500</v>
      </c>
      <c r="O69" s="355">
        <f>O66</f>
        <v>34600</v>
      </c>
      <c r="P69" s="346">
        <v>32500</v>
      </c>
      <c r="Q69" s="346"/>
      <c r="R69" s="346">
        <v>13000</v>
      </c>
      <c r="S69" s="346">
        <v>22</v>
      </c>
      <c r="T69" s="348">
        <f t="shared" si="95"/>
        <v>286000</v>
      </c>
      <c r="U69" s="347"/>
      <c r="V69" s="345">
        <f t="shared" si="102"/>
        <v>2219600</v>
      </c>
      <c r="W69" s="346"/>
      <c r="X69" s="203"/>
      <c r="Y69" s="346"/>
      <c r="Z69" s="346"/>
      <c r="AA69" s="346">
        <f t="shared" si="105"/>
        <v>0</v>
      </c>
      <c r="AB69" s="346">
        <v>8500</v>
      </c>
      <c r="AC69" s="346"/>
      <c r="AD69" s="346">
        <f t="shared" si="106"/>
        <v>0</v>
      </c>
      <c r="AE69" s="345"/>
      <c r="AF69" s="345">
        <f t="shared" si="107"/>
        <v>0</v>
      </c>
      <c r="AG69" s="347">
        <f t="shared" si="108"/>
        <v>13000</v>
      </c>
      <c r="AH69" s="346"/>
      <c r="AI69" s="348">
        <f t="shared" si="109"/>
        <v>0</v>
      </c>
      <c r="AJ69" s="347">
        <f t="shared" si="99"/>
        <v>78636.363636363632</v>
      </c>
      <c r="AK69" s="347"/>
      <c r="AL69" s="346">
        <f t="shared" si="110"/>
        <v>0</v>
      </c>
      <c r="AM69" s="346"/>
      <c r="AN69" s="346"/>
      <c r="AO69" s="346">
        <f t="shared" si="111"/>
        <v>0</v>
      </c>
      <c r="AP69" s="346"/>
      <c r="AQ69" s="346"/>
      <c r="AR69" s="346">
        <f t="shared" si="112"/>
        <v>0</v>
      </c>
      <c r="AS69" s="348">
        <f t="shared" si="113"/>
        <v>0</v>
      </c>
      <c r="AT69" s="345">
        <f t="shared" si="114"/>
        <v>2219600</v>
      </c>
      <c r="AU69" s="346"/>
      <c r="AV69" s="347"/>
      <c r="AW69" s="351">
        <v>15000</v>
      </c>
      <c r="AX69" s="347"/>
      <c r="AY69" s="350">
        <v>100000</v>
      </c>
      <c r="AZ69" s="347"/>
      <c r="BA69" s="352">
        <f t="shared" si="115"/>
        <v>2104600</v>
      </c>
      <c r="BB69" s="346"/>
      <c r="BC69" s="347"/>
      <c r="BD69" s="351">
        <v>15000</v>
      </c>
      <c r="BE69" s="347">
        <v>0</v>
      </c>
      <c r="BF69" s="350">
        <v>100000</v>
      </c>
      <c r="BG69" s="347"/>
      <c r="BH69" s="352">
        <f t="shared" si="116"/>
        <v>2104600</v>
      </c>
    </row>
    <row r="70" spans="1:60" s="357" customFormat="1" ht="15" x14ac:dyDescent="0.2">
      <c r="A70" s="356"/>
      <c r="B70" s="343">
        <v>67</v>
      </c>
      <c r="C70" s="401" t="s">
        <v>430</v>
      </c>
      <c r="D70" s="354"/>
      <c r="E70" s="346"/>
      <c r="F70" s="346"/>
      <c r="G70" s="346"/>
      <c r="H70" s="346"/>
      <c r="I70" s="360" t="s">
        <v>472</v>
      </c>
      <c r="J70" s="346"/>
      <c r="K70" s="344">
        <f>SUM(1730000*100%)</f>
        <v>1730000</v>
      </c>
      <c r="L70" s="203"/>
      <c r="M70" s="346"/>
      <c r="N70" s="346"/>
      <c r="O70" s="346"/>
      <c r="P70" s="346"/>
      <c r="Q70" s="346"/>
      <c r="R70" s="346">
        <v>5500</v>
      </c>
      <c r="S70" s="346">
        <v>22</v>
      </c>
      <c r="T70" s="348">
        <f>R70*S70</f>
        <v>121000</v>
      </c>
      <c r="U70" s="353">
        <f>8500*2*4</f>
        <v>68000</v>
      </c>
      <c r="V70" s="345">
        <f>K70+L70+M70+N70+O70+P70+Q70+T70+U70</f>
        <v>1919000</v>
      </c>
      <c r="W70" s="346"/>
      <c r="X70" s="346"/>
      <c r="Y70" s="346"/>
      <c r="Z70" s="346"/>
      <c r="AA70" s="346">
        <f>Y70*Z70</f>
        <v>0</v>
      </c>
      <c r="AB70" s="346">
        <v>8500</v>
      </c>
      <c r="AC70" s="346"/>
      <c r="AD70" s="346">
        <f>AB70*AC70</f>
        <v>0</v>
      </c>
      <c r="AE70" s="345"/>
      <c r="AF70" s="345">
        <f>X70+AA70+AD70+AE70</f>
        <v>0</v>
      </c>
      <c r="AG70" s="347">
        <f>R70</f>
        <v>5500</v>
      </c>
      <c r="AH70" s="346"/>
      <c r="AI70" s="348">
        <f>AG70*AH70</f>
        <v>0</v>
      </c>
      <c r="AJ70" s="361">
        <f>K70/22</f>
        <v>78636.363636363632</v>
      </c>
      <c r="AK70" s="346"/>
      <c r="AL70" s="346">
        <f>AJ70*AK70</f>
        <v>0</v>
      </c>
      <c r="AM70" s="346"/>
      <c r="AN70" s="346"/>
      <c r="AO70" s="346">
        <f>AM70*AN70</f>
        <v>0</v>
      </c>
      <c r="AP70" s="346"/>
      <c r="AQ70" s="346"/>
      <c r="AR70" s="346">
        <f>AP70*AQ70</f>
        <v>0</v>
      </c>
      <c r="AS70" s="348">
        <f>AI70+AL70+AO70+AR70</f>
        <v>0</v>
      </c>
      <c r="AT70" s="345">
        <f>V70+AF70-AS70</f>
        <v>1919000</v>
      </c>
      <c r="AU70" s="346"/>
      <c r="AV70" s="347"/>
      <c r="AW70" s="351"/>
      <c r="AX70" s="347"/>
      <c r="AY70" s="350"/>
      <c r="AZ70" s="347"/>
      <c r="BA70" s="352"/>
      <c r="BB70" s="346"/>
      <c r="BC70" s="347"/>
      <c r="BD70" s="351">
        <v>15000</v>
      </c>
      <c r="BE70" s="347"/>
      <c r="BF70" s="347">
        <v>100000</v>
      </c>
      <c r="BG70" s="347"/>
      <c r="BH70" s="352">
        <f>AT70-BB70-BC70-BD70-BE70-BF70-BG70</f>
        <v>1804000</v>
      </c>
    </row>
    <row r="71" spans="1:60" s="167" customFormat="1" ht="12.75" customHeight="1" x14ac:dyDescent="0.25">
      <c r="A71" s="174">
        <v>59</v>
      </c>
      <c r="B71" s="318">
        <v>68</v>
      </c>
      <c r="C71" s="175" t="s">
        <v>131</v>
      </c>
      <c r="D71" s="176" t="s">
        <v>220</v>
      </c>
      <c r="E71" s="138" t="s">
        <v>71</v>
      </c>
      <c r="F71" s="138"/>
      <c r="G71" s="138"/>
      <c r="H71" s="138"/>
      <c r="I71" s="177" t="s">
        <v>279</v>
      </c>
      <c r="J71" s="138" t="s">
        <v>369</v>
      </c>
      <c r="K71" s="178"/>
      <c r="L71" s="179"/>
      <c r="M71" s="166"/>
      <c r="N71" s="180"/>
      <c r="O71" s="180"/>
      <c r="P71" s="138"/>
      <c r="Q71" s="138"/>
      <c r="R71" s="138">
        <v>13000</v>
      </c>
      <c r="S71" s="138">
        <v>5</v>
      </c>
      <c r="T71" s="181">
        <f>R71*S71</f>
        <v>65000</v>
      </c>
      <c r="U71" s="178">
        <f>12500*12</f>
        <v>150000</v>
      </c>
      <c r="V71" s="40">
        <f>K71+L71+M71+N71+O71+P71+Q71+T71+U71</f>
        <v>215000</v>
      </c>
      <c r="W71" s="138"/>
      <c r="X71" s="510">
        <v>73527</v>
      </c>
      <c r="Y71" s="138"/>
      <c r="Z71" s="138"/>
      <c r="AA71" s="36">
        <f>Y71*Z71</f>
        <v>0</v>
      </c>
      <c r="AB71" s="138"/>
      <c r="AC71" s="138"/>
      <c r="AD71" s="36">
        <f>AB71*AC71</f>
        <v>0</v>
      </c>
      <c r="AE71" s="182"/>
      <c r="AF71" s="40">
        <f>X71+AA71+AD71+AE71</f>
        <v>73527</v>
      </c>
      <c r="AG71" s="37">
        <f>R71</f>
        <v>13000</v>
      </c>
      <c r="AH71" s="138"/>
      <c r="AI71" s="39">
        <f>AG71*AH71</f>
        <v>0</v>
      </c>
      <c r="AJ71" s="180"/>
      <c r="AK71" s="138"/>
      <c r="AL71" s="36">
        <f>AJ71*AK71</f>
        <v>0</v>
      </c>
      <c r="AM71" s="138"/>
      <c r="AN71" s="138"/>
      <c r="AO71" s="138"/>
      <c r="AP71" s="138"/>
      <c r="AQ71" s="138"/>
      <c r="AR71" s="138">
        <f>AP71*AQ71</f>
        <v>0</v>
      </c>
      <c r="AS71" s="39">
        <f>AI71+AL71+AO71+AR71</f>
        <v>0</v>
      </c>
      <c r="AT71" s="40">
        <f>V71+AF71-AS71</f>
        <v>288527</v>
      </c>
      <c r="AU71" s="138"/>
      <c r="AV71" s="166">
        <v>537000</v>
      </c>
      <c r="AW71" s="183">
        <v>15000</v>
      </c>
      <c r="AX71" s="166">
        <v>22726</v>
      </c>
      <c r="AY71" s="171">
        <v>100000</v>
      </c>
      <c r="AZ71" s="166"/>
      <c r="BA71" s="184">
        <f>AT71-AU71-AV71-AW71-AX71-AY71-AZ71</f>
        <v>-386199</v>
      </c>
      <c r="BB71" s="138"/>
      <c r="BC71" s="166"/>
      <c r="BD71" s="183">
        <v>15000</v>
      </c>
      <c r="BE71" s="127">
        <f>24509*3</f>
        <v>73527</v>
      </c>
      <c r="BF71" s="171">
        <v>200000</v>
      </c>
      <c r="BG71" s="127"/>
      <c r="BH71" s="135">
        <f>AT71-BB71-BC71-BD71-BE71-BF71-BG71</f>
        <v>0</v>
      </c>
    </row>
    <row r="72" spans="1:60" s="167" customFormat="1" ht="15" x14ac:dyDescent="0.25">
      <c r="A72" s="174">
        <v>66</v>
      </c>
      <c r="B72" s="318">
        <v>69</v>
      </c>
      <c r="C72" s="175" t="s">
        <v>133</v>
      </c>
      <c r="D72" s="198" t="s">
        <v>230</v>
      </c>
      <c r="E72" s="138" t="s">
        <v>71</v>
      </c>
      <c r="F72" s="138"/>
      <c r="G72" s="138"/>
      <c r="H72" s="138"/>
      <c r="I72" s="199">
        <v>42933</v>
      </c>
      <c r="J72" s="138" t="s">
        <v>291</v>
      </c>
      <c r="K72" s="178"/>
      <c r="L72" s="179"/>
      <c r="M72" s="138"/>
      <c r="N72" s="138"/>
      <c r="O72" s="138"/>
      <c r="P72" s="138"/>
      <c r="Q72" s="138"/>
      <c r="R72" s="138">
        <v>3700</v>
      </c>
      <c r="S72" s="138">
        <v>5</v>
      </c>
      <c r="T72" s="181">
        <f t="shared" si="95"/>
        <v>18500</v>
      </c>
      <c r="U72" s="178">
        <f>12500*12</f>
        <v>150000</v>
      </c>
      <c r="V72" s="40">
        <f t="shared" si="102"/>
        <v>168500</v>
      </c>
      <c r="W72" s="138"/>
      <c r="X72" s="138">
        <v>0</v>
      </c>
      <c r="Y72" s="138"/>
      <c r="Z72" s="138"/>
      <c r="AA72" s="36">
        <f t="shared" si="105"/>
        <v>0</v>
      </c>
      <c r="AB72" s="138"/>
      <c r="AC72" s="138"/>
      <c r="AD72" s="36">
        <f t="shared" si="106"/>
        <v>0</v>
      </c>
      <c r="AE72" s="182"/>
      <c r="AF72" s="40">
        <f t="shared" si="107"/>
        <v>0</v>
      </c>
      <c r="AG72" s="37">
        <f t="shared" si="108"/>
        <v>3700</v>
      </c>
      <c r="AH72" s="138"/>
      <c r="AI72" s="39">
        <f t="shared" si="109"/>
        <v>0</v>
      </c>
      <c r="AJ72" s="180"/>
      <c r="AK72" s="138"/>
      <c r="AL72" s="36">
        <f t="shared" si="110"/>
        <v>0</v>
      </c>
      <c r="AM72" s="138"/>
      <c r="AN72" s="138"/>
      <c r="AO72" s="36">
        <f t="shared" si="111"/>
        <v>0</v>
      </c>
      <c r="AP72" s="138"/>
      <c r="AQ72" s="138"/>
      <c r="AR72" s="36">
        <f t="shared" si="112"/>
        <v>0</v>
      </c>
      <c r="AS72" s="39">
        <f t="shared" si="113"/>
        <v>0</v>
      </c>
      <c r="AT72" s="40">
        <f t="shared" si="114"/>
        <v>168500</v>
      </c>
      <c r="AU72" s="138"/>
      <c r="AV72" s="166"/>
      <c r="AW72" s="183">
        <v>15000</v>
      </c>
      <c r="AX72" s="166"/>
      <c r="AY72" s="166"/>
      <c r="AZ72" s="127"/>
      <c r="BA72" s="184">
        <f t="shared" si="115"/>
        <v>153500</v>
      </c>
      <c r="BB72" s="138"/>
      <c r="BC72" s="166"/>
      <c r="BD72" s="183">
        <v>15000</v>
      </c>
      <c r="BE72" s="127"/>
      <c r="BF72" s="166">
        <v>100000</v>
      </c>
      <c r="BG72" s="127"/>
      <c r="BH72" s="135">
        <f t="shared" si="116"/>
        <v>53500</v>
      </c>
    </row>
    <row r="73" spans="1:60" s="167" customFormat="1" ht="15" x14ac:dyDescent="0.2">
      <c r="A73" s="174">
        <v>71</v>
      </c>
      <c r="B73" s="318">
        <v>70</v>
      </c>
      <c r="C73" s="175" t="s">
        <v>74</v>
      </c>
      <c r="D73" s="176" t="s">
        <v>231</v>
      </c>
      <c r="E73" s="138" t="s">
        <v>232</v>
      </c>
      <c r="F73" s="138"/>
      <c r="G73" s="138"/>
      <c r="H73" s="138"/>
      <c r="I73" s="177" t="s">
        <v>279</v>
      </c>
      <c r="J73" s="138" t="s">
        <v>294</v>
      </c>
      <c r="K73" s="178"/>
      <c r="L73" s="179"/>
      <c r="M73" s="138"/>
      <c r="N73" s="138"/>
      <c r="O73" s="138"/>
      <c r="P73" s="138"/>
      <c r="Q73" s="138"/>
      <c r="R73" s="138"/>
      <c r="S73" s="138"/>
      <c r="T73" s="181">
        <f t="shared" si="95"/>
        <v>0</v>
      </c>
      <c r="U73" s="178">
        <v>400000</v>
      </c>
      <c r="V73" s="40">
        <f t="shared" si="102"/>
        <v>400000</v>
      </c>
      <c r="W73" s="138"/>
      <c r="X73" s="138"/>
      <c r="Y73" s="138"/>
      <c r="Z73" s="138"/>
      <c r="AA73" s="36">
        <f t="shared" si="105"/>
        <v>0</v>
      </c>
      <c r="AB73" s="138"/>
      <c r="AC73" s="138"/>
      <c r="AD73" s="36">
        <f t="shared" si="106"/>
        <v>0</v>
      </c>
      <c r="AE73" s="182"/>
      <c r="AF73" s="40">
        <f t="shared" si="107"/>
        <v>0</v>
      </c>
      <c r="AG73" s="37">
        <f t="shared" si="108"/>
        <v>0</v>
      </c>
      <c r="AH73" s="138"/>
      <c r="AI73" s="39">
        <f t="shared" si="109"/>
        <v>0</v>
      </c>
      <c r="AJ73" s="138"/>
      <c r="AK73" s="138"/>
      <c r="AL73" s="36">
        <f t="shared" si="110"/>
        <v>0</v>
      </c>
      <c r="AM73" s="138"/>
      <c r="AN73" s="138"/>
      <c r="AO73" s="36">
        <f t="shared" si="111"/>
        <v>0</v>
      </c>
      <c r="AP73" s="138"/>
      <c r="AQ73" s="138"/>
      <c r="AR73" s="36">
        <f t="shared" si="112"/>
        <v>0</v>
      </c>
      <c r="AS73" s="39">
        <f t="shared" si="113"/>
        <v>0</v>
      </c>
      <c r="AT73" s="40">
        <f t="shared" si="114"/>
        <v>400000</v>
      </c>
      <c r="AU73" s="138"/>
      <c r="AV73" s="166"/>
      <c r="AW73" s="183"/>
      <c r="AX73" s="166"/>
      <c r="AY73" s="171"/>
      <c r="AZ73" s="166"/>
      <c r="BA73" s="184">
        <f t="shared" si="115"/>
        <v>400000</v>
      </c>
      <c r="BB73" s="126"/>
      <c r="BC73" s="127"/>
      <c r="BD73" s="132"/>
      <c r="BE73" s="127"/>
      <c r="BF73" s="128"/>
      <c r="BG73" s="127"/>
      <c r="BH73" s="135">
        <f t="shared" si="116"/>
        <v>400000</v>
      </c>
    </row>
    <row r="74" spans="1:60" s="167" customFormat="1" ht="15" x14ac:dyDescent="0.2">
      <c r="A74" s="174"/>
      <c r="B74" s="318">
        <v>71</v>
      </c>
      <c r="C74" s="337" t="s">
        <v>473</v>
      </c>
      <c r="D74" s="338"/>
      <c r="E74" s="138"/>
      <c r="F74" s="138"/>
      <c r="G74" s="138"/>
      <c r="H74" s="138"/>
      <c r="I74" s="339"/>
      <c r="J74" s="138"/>
      <c r="K74" s="340"/>
      <c r="L74" s="179"/>
      <c r="M74" s="138"/>
      <c r="N74" s="138"/>
      <c r="O74" s="138"/>
      <c r="P74" s="138"/>
      <c r="Q74" s="138"/>
      <c r="R74" s="138"/>
      <c r="S74" s="138"/>
      <c r="T74" s="181"/>
      <c r="U74" s="178"/>
      <c r="V74" s="182"/>
      <c r="W74" s="138"/>
      <c r="X74" s="138"/>
      <c r="Y74" s="138"/>
      <c r="Z74" s="138"/>
      <c r="AA74" s="138"/>
      <c r="AB74" s="138"/>
      <c r="AC74" s="138"/>
      <c r="AD74" s="138"/>
      <c r="AE74" s="182"/>
      <c r="AF74" s="182"/>
      <c r="AG74" s="166"/>
      <c r="AH74" s="138"/>
      <c r="AI74" s="181"/>
      <c r="AJ74" s="341"/>
      <c r="AK74" s="138"/>
      <c r="AL74" s="138"/>
      <c r="AM74" s="138"/>
      <c r="AN74" s="138"/>
      <c r="AO74" s="138"/>
      <c r="AP74" s="138"/>
      <c r="AQ74" s="138"/>
      <c r="AR74" s="138"/>
      <c r="AS74" s="181"/>
      <c r="AT74" s="182"/>
      <c r="AU74" s="138"/>
      <c r="AV74" s="166"/>
      <c r="AW74" s="183"/>
      <c r="AX74" s="166"/>
      <c r="AY74" s="171"/>
      <c r="AZ74" s="166"/>
      <c r="BA74" s="184"/>
      <c r="BB74" s="138"/>
      <c r="BC74" s="166"/>
      <c r="BD74" s="183"/>
      <c r="BE74" s="166"/>
      <c r="BF74" s="166"/>
      <c r="BG74" s="166"/>
      <c r="BH74" s="184"/>
    </row>
    <row r="75" spans="1:60" s="416" customFormat="1" ht="18.75" customHeight="1" x14ac:dyDescent="0.25">
      <c r="A75" s="402">
        <v>72</v>
      </c>
      <c r="B75" s="403">
        <v>72</v>
      </c>
      <c r="C75" s="404" t="s">
        <v>59</v>
      </c>
      <c r="D75" s="405" t="s">
        <v>235</v>
      </c>
      <c r="E75" s="124" t="s">
        <v>130</v>
      </c>
      <c r="F75" s="124"/>
      <c r="G75" s="124"/>
      <c r="H75" s="124"/>
      <c r="I75" s="406">
        <v>42569</v>
      </c>
      <c r="J75" s="124" t="s">
        <v>300</v>
      </c>
      <c r="K75" s="407">
        <f t="shared" ref="K75" si="117">SUM(1730000*100%)</f>
        <v>1730000</v>
      </c>
      <c r="L75" s="408">
        <v>1000000</v>
      </c>
      <c r="M75" s="409">
        <v>100000</v>
      </c>
      <c r="N75" s="407">
        <f>K75*5/100</f>
        <v>86500</v>
      </c>
      <c r="O75" s="410">
        <f>O76</f>
        <v>34600</v>
      </c>
      <c r="P75" s="410">
        <f>P76</f>
        <v>32500</v>
      </c>
      <c r="Q75" s="407"/>
      <c r="R75" s="124">
        <v>9100</v>
      </c>
      <c r="S75" s="124">
        <v>22</v>
      </c>
      <c r="T75" s="411">
        <f t="shared" si="95"/>
        <v>200200</v>
      </c>
      <c r="U75" s="409"/>
      <c r="V75" s="412">
        <f t="shared" si="102"/>
        <v>3183800</v>
      </c>
      <c r="W75" s="124"/>
      <c r="X75" s="124"/>
      <c r="Y75" s="124">
        <v>12500</v>
      </c>
      <c r="Z75" s="124"/>
      <c r="AA75" s="124">
        <f t="shared" si="105"/>
        <v>0</v>
      </c>
      <c r="AB75" s="124"/>
      <c r="AC75" s="124"/>
      <c r="AD75" s="124">
        <f t="shared" si="106"/>
        <v>0</v>
      </c>
      <c r="AE75" s="412"/>
      <c r="AF75" s="412">
        <f t="shared" si="107"/>
        <v>0</v>
      </c>
      <c r="AG75" s="409">
        <f t="shared" si="108"/>
        <v>9100</v>
      </c>
      <c r="AH75" s="124"/>
      <c r="AI75" s="411">
        <f t="shared" si="109"/>
        <v>0</v>
      </c>
      <c r="AJ75" s="410">
        <f>K75/22</f>
        <v>78636.363636363632</v>
      </c>
      <c r="AK75" s="124"/>
      <c r="AL75" s="124">
        <f t="shared" si="110"/>
        <v>0</v>
      </c>
      <c r="AM75" s="124"/>
      <c r="AN75" s="124"/>
      <c r="AO75" s="124">
        <f t="shared" si="111"/>
        <v>0</v>
      </c>
      <c r="AP75" s="124"/>
      <c r="AQ75" s="124"/>
      <c r="AR75" s="124">
        <f t="shared" si="112"/>
        <v>0</v>
      </c>
      <c r="AS75" s="411">
        <f t="shared" si="113"/>
        <v>0</v>
      </c>
      <c r="AT75" s="412">
        <f t="shared" si="114"/>
        <v>3183800</v>
      </c>
      <c r="AU75" s="124"/>
      <c r="AV75" s="409"/>
      <c r="AW75" s="413">
        <v>15000</v>
      </c>
      <c r="AX75" s="409">
        <f>22726+68178</f>
        <v>90904</v>
      </c>
      <c r="AY75" s="414"/>
      <c r="AZ75" s="409"/>
      <c r="BA75" s="415">
        <f t="shared" si="115"/>
        <v>3077896</v>
      </c>
      <c r="BB75" s="124"/>
      <c r="BC75" s="409">
        <v>1317500</v>
      </c>
      <c r="BD75" s="413">
        <v>15000</v>
      </c>
      <c r="BE75" s="409">
        <f>24509*3+68178</f>
        <v>141705</v>
      </c>
      <c r="BF75" s="414">
        <v>200000</v>
      </c>
      <c r="BG75" s="124"/>
      <c r="BH75" s="415">
        <f t="shared" si="116"/>
        <v>1509595</v>
      </c>
    </row>
    <row r="76" spans="1:60" s="416" customFormat="1" ht="14.65" customHeight="1" x14ac:dyDescent="0.25">
      <c r="A76" s="402">
        <v>73</v>
      </c>
      <c r="B76" s="403">
        <v>73</v>
      </c>
      <c r="C76" s="417" t="s">
        <v>57</v>
      </c>
      <c r="D76" s="405" t="s">
        <v>234</v>
      </c>
      <c r="E76" s="124" t="s">
        <v>129</v>
      </c>
      <c r="F76" s="124"/>
      <c r="G76" s="124"/>
      <c r="H76" s="124"/>
      <c r="I76" s="406">
        <v>42933</v>
      </c>
      <c r="J76" s="124" t="s">
        <v>291</v>
      </c>
      <c r="K76" s="407">
        <f t="shared" ref="K76" si="118">SUM(1730000*100%)</f>
        <v>1730000</v>
      </c>
      <c r="L76" s="312">
        <v>0</v>
      </c>
      <c r="M76" s="419">
        <v>50000</v>
      </c>
      <c r="N76" s="407">
        <f>K76*5/100</f>
        <v>86500</v>
      </c>
      <c r="O76" s="407">
        <f>K76*2/100</f>
        <v>34600</v>
      </c>
      <c r="P76" s="407">
        <v>32500</v>
      </c>
      <c r="Q76" s="407"/>
      <c r="R76" s="313">
        <v>5500</v>
      </c>
      <c r="S76" s="313">
        <v>0</v>
      </c>
      <c r="T76" s="314">
        <f t="shared" ref="T76" si="119">R76*S76</f>
        <v>0</v>
      </c>
      <c r="U76" s="124"/>
      <c r="V76" s="412">
        <f t="shared" si="102"/>
        <v>1933600</v>
      </c>
      <c r="W76" s="124"/>
      <c r="X76" s="124"/>
      <c r="Y76" s="124"/>
      <c r="Z76" s="124"/>
      <c r="AA76" s="124">
        <f t="shared" si="105"/>
        <v>0</v>
      </c>
      <c r="AB76" s="124"/>
      <c r="AC76" s="124"/>
      <c r="AD76" s="124">
        <f t="shared" si="106"/>
        <v>0</v>
      </c>
      <c r="AE76" s="412"/>
      <c r="AF76" s="412">
        <f t="shared" si="107"/>
        <v>0</v>
      </c>
      <c r="AG76" s="409">
        <f t="shared" si="108"/>
        <v>5500</v>
      </c>
      <c r="AH76" s="124"/>
      <c r="AI76" s="411">
        <f t="shared" si="109"/>
        <v>0</v>
      </c>
      <c r="AJ76" s="410">
        <f>K76/22</f>
        <v>78636.363636363632</v>
      </c>
      <c r="AK76" s="124"/>
      <c r="AL76" s="124">
        <f t="shared" si="110"/>
        <v>0</v>
      </c>
      <c r="AM76" s="124"/>
      <c r="AN76" s="124"/>
      <c r="AO76" s="124">
        <f t="shared" si="111"/>
        <v>0</v>
      </c>
      <c r="AP76" s="124"/>
      <c r="AQ76" s="124"/>
      <c r="AR76" s="124">
        <f t="shared" si="112"/>
        <v>0</v>
      </c>
      <c r="AS76" s="411">
        <f t="shared" si="113"/>
        <v>0</v>
      </c>
      <c r="AT76" s="412">
        <f t="shared" si="114"/>
        <v>1933600</v>
      </c>
      <c r="AU76" s="124"/>
      <c r="AV76" s="409"/>
      <c r="AW76" s="413">
        <v>15000</v>
      </c>
      <c r="AX76" s="409"/>
      <c r="AY76" s="409"/>
      <c r="AZ76" s="409"/>
      <c r="BA76" s="415">
        <f t="shared" si="115"/>
        <v>1918600</v>
      </c>
      <c r="BB76" s="124"/>
      <c r="BC76" s="409">
        <v>1329000</v>
      </c>
      <c r="BD76" s="413">
        <v>15000</v>
      </c>
      <c r="BE76" s="409"/>
      <c r="BF76" s="409"/>
      <c r="BG76" s="409"/>
      <c r="BH76" s="415">
        <f t="shared" si="116"/>
        <v>589600</v>
      </c>
    </row>
    <row r="77" spans="1:60" s="416" customFormat="1" ht="15" x14ac:dyDescent="0.25">
      <c r="A77" s="402">
        <v>82</v>
      </c>
      <c r="B77" s="403">
        <v>74</v>
      </c>
      <c r="C77" s="420" t="s">
        <v>65</v>
      </c>
      <c r="D77" s="421" t="s">
        <v>241</v>
      </c>
      <c r="E77" s="124" t="s">
        <v>130</v>
      </c>
      <c r="F77" s="124"/>
      <c r="G77" s="124"/>
      <c r="H77" s="124"/>
      <c r="I77" s="422" t="s">
        <v>281</v>
      </c>
      <c r="J77" s="124" t="s">
        <v>292</v>
      </c>
      <c r="K77" s="407">
        <f>SUM(1730000*100%)</f>
        <v>1730000</v>
      </c>
      <c r="L77" s="423">
        <v>700000</v>
      </c>
      <c r="M77" s="124">
        <v>50000</v>
      </c>
      <c r="N77" s="407">
        <f>K77*5/100</f>
        <v>86500</v>
      </c>
      <c r="O77" s="124"/>
      <c r="P77" s="407">
        <v>32500</v>
      </c>
      <c r="Q77" s="407"/>
      <c r="R77" s="124">
        <v>5500</v>
      </c>
      <c r="S77" s="124">
        <v>22</v>
      </c>
      <c r="T77" s="411">
        <f>R77*S77</f>
        <v>121000</v>
      </c>
      <c r="U77" s="124"/>
      <c r="V77" s="412">
        <f t="shared" si="102"/>
        <v>2720000</v>
      </c>
      <c r="W77" s="124"/>
      <c r="X77" s="124"/>
      <c r="Y77" s="124">
        <v>12500</v>
      </c>
      <c r="Z77" s="124"/>
      <c r="AA77" s="124">
        <f t="shared" si="105"/>
        <v>0</v>
      </c>
      <c r="AB77" s="124"/>
      <c r="AC77" s="124"/>
      <c r="AD77" s="124">
        <f t="shared" si="106"/>
        <v>0</v>
      </c>
      <c r="AE77" s="412"/>
      <c r="AF77" s="412">
        <f t="shared" si="107"/>
        <v>0</v>
      </c>
      <c r="AG77" s="409">
        <f t="shared" si="108"/>
        <v>5500</v>
      </c>
      <c r="AH77" s="124"/>
      <c r="AI77" s="411">
        <f t="shared" si="109"/>
        <v>0</v>
      </c>
      <c r="AJ77" s="410">
        <f>K77/22</f>
        <v>78636.363636363632</v>
      </c>
      <c r="AK77" s="124"/>
      <c r="AL77" s="124">
        <f t="shared" si="110"/>
        <v>0</v>
      </c>
      <c r="AM77" s="124"/>
      <c r="AN77" s="124"/>
      <c r="AO77" s="124">
        <f t="shared" si="111"/>
        <v>0</v>
      </c>
      <c r="AP77" s="124"/>
      <c r="AQ77" s="124"/>
      <c r="AR77" s="124">
        <f t="shared" si="112"/>
        <v>0</v>
      </c>
      <c r="AS77" s="411">
        <f t="shared" si="113"/>
        <v>0</v>
      </c>
      <c r="AT77" s="412">
        <f t="shared" si="114"/>
        <v>2720000</v>
      </c>
      <c r="AU77" s="124"/>
      <c r="AV77" s="409"/>
      <c r="AW77" s="413">
        <v>15000</v>
      </c>
      <c r="AX77" s="409"/>
      <c r="AY77" s="414">
        <v>200000</v>
      </c>
      <c r="AZ77" s="409"/>
      <c r="BA77" s="415">
        <f t="shared" si="115"/>
        <v>2505000</v>
      </c>
      <c r="BB77" s="124"/>
      <c r="BC77" s="409"/>
      <c r="BD77" s="413">
        <v>15000</v>
      </c>
      <c r="BE77" s="409">
        <f>24509</f>
        <v>24509</v>
      </c>
      <c r="BF77" s="414">
        <v>200000</v>
      </c>
      <c r="BG77" s="409"/>
      <c r="BH77" s="415">
        <f t="shared" si="116"/>
        <v>2480491</v>
      </c>
    </row>
    <row r="78" spans="1:60" s="416" customFormat="1" ht="12.75" customHeight="1" x14ac:dyDescent="0.25">
      <c r="A78" s="402">
        <v>74</v>
      </c>
      <c r="B78" s="403">
        <v>75</v>
      </c>
      <c r="C78" s="424" t="s">
        <v>55</v>
      </c>
      <c r="D78" s="425" t="s">
        <v>233</v>
      </c>
      <c r="E78" s="124" t="s">
        <v>475</v>
      </c>
      <c r="F78" s="124"/>
      <c r="G78" s="124"/>
      <c r="H78" s="124"/>
      <c r="I78" s="406">
        <v>41108</v>
      </c>
      <c r="J78" s="124" t="s">
        <v>289</v>
      </c>
      <c r="K78" s="407">
        <f>SUM(1830000*100%)</f>
        <v>1830000</v>
      </c>
      <c r="L78" s="418">
        <v>600000</v>
      </c>
      <c r="M78" s="407">
        <v>150000</v>
      </c>
      <c r="N78" s="407">
        <f>K78*5/100</f>
        <v>91500</v>
      </c>
      <c r="O78" s="407">
        <f>K78*2*2/100</f>
        <v>73200</v>
      </c>
      <c r="P78" s="407">
        <v>32500</v>
      </c>
      <c r="Q78" s="407"/>
      <c r="R78" s="124">
        <v>13000</v>
      </c>
      <c r="S78" s="124">
        <v>22</v>
      </c>
      <c r="T78" s="411">
        <f t="shared" ref="T78:T85" si="120">R78*S78</f>
        <v>286000</v>
      </c>
      <c r="U78" s="409">
        <f>4*4*12500</f>
        <v>200000</v>
      </c>
      <c r="V78" s="412">
        <f t="shared" si="102"/>
        <v>3263200</v>
      </c>
      <c r="W78" s="124"/>
      <c r="X78" s="124"/>
      <c r="Y78" s="124">
        <v>12500</v>
      </c>
      <c r="Z78" s="124"/>
      <c r="AA78" s="124">
        <f t="shared" si="105"/>
        <v>0</v>
      </c>
      <c r="AB78" s="124"/>
      <c r="AC78" s="124"/>
      <c r="AD78" s="124">
        <f t="shared" si="106"/>
        <v>0</v>
      </c>
      <c r="AE78" s="412"/>
      <c r="AF78" s="412">
        <f t="shared" si="107"/>
        <v>0</v>
      </c>
      <c r="AG78" s="409">
        <f t="shared" si="108"/>
        <v>13000</v>
      </c>
      <c r="AH78" s="124"/>
      <c r="AI78" s="411">
        <f t="shared" si="109"/>
        <v>0</v>
      </c>
      <c r="AJ78" s="410">
        <f>K78/22*1</f>
        <v>83181.818181818177</v>
      </c>
      <c r="AK78" s="124"/>
      <c r="AL78" s="124">
        <f t="shared" si="110"/>
        <v>0</v>
      </c>
      <c r="AM78" s="124"/>
      <c r="AN78" s="124"/>
      <c r="AO78" s="124">
        <f t="shared" si="111"/>
        <v>0</v>
      </c>
      <c r="AP78" s="124"/>
      <c r="AQ78" s="124"/>
      <c r="AR78" s="124">
        <f t="shared" si="112"/>
        <v>0</v>
      </c>
      <c r="AS78" s="411">
        <f t="shared" si="113"/>
        <v>0</v>
      </c>
      <c r="AT78" s="412">
        <f t="shared" si="114"/>
        <v>3263200</v>
      </c>
      <c r="AU78" s="124"/>
      <c r="AV78" s="409">
        <v>1317500</v>
      </c>
      <c r="AW78" s="413">
        <v>15000</v>
      </c>
      <c r="AX78" s="409">
        <f>22726*3+68178</f>
        <v>136356</v>
      </c>
      <c r="AY78" s="414">
        <v>200000</v>
      </c>
      <c r="AZ78" s="124"/>
      <c r="BA78" s="415">
        <f t="shared" si="115"/>
        <v>1594344</v>
      </c>
      <c r="BB78" s="124"/>
      <c r="BC78" s="409"/>
      <c r="BD78" s="413">
        <v>15000</v>
      </c>
      <c r="BE78" s="409">
        <f>24509*2+68178</f>
        <v>117196</v>
      </c>
      <c r="BF78" s="414"/>
      <c r="BG78" s="409"/>
      <c r="BH78" s="415">
        <f t="shared" si="116"/>
        <v>3131004</v>
      </c>
    </row>
    <row r="79" spans="1:60" s="416" customFormat="1" ht="13.5" customHeight="1" x14ac:dyDescent="0.25">
      <c r="A79" s="402">
        <v>77</v>
      </c>
      <c r="B79" s="403">
        <v>76</v>
      </c>
      <c r="C79" s="426" t="s">
        <v>60</v>
      </c>
      <c r="D79" s="427" t="s">
        <v>236</v>
      </c>
      <c r="E79" s="124" t="s">
        <v>474</v>
      </c>
      <c r="F79" s="124"/>
      <c r="G79" s="124"/>
      <c r="H79" s="124"/>
      <c r="I79" s="428">
        <v>42933</v>
      </c>
      <c r="J79" s="124" t="s">
        <v>291</v>
      </c>
      <c r="K79" s="407">
        <f t="shared" ref="K79:K81" si="121">SUM(1730000*100%)</f>
        <v>1730000</v>
      </c>
      <c r="L79" s="418">
        <v>600000</v>
      </c>
      <c r="M79" s="124">
        <v>50000</v>
      </c>
      <c r="N79" s="410"/>
      <c r="O79" s="410">
        <f>K79*2/100</f>
        <v>34600</v>
      </c>
      <c r="P79" s="124">
        <v>32500</v>
      </c>
      <c r="Q79" s="407"/>
      <c r="R79" s="124">
        <v>3700</v>
      </c>
      <c r="S79" s="124">
        <v>22</v>
      </c>
      <c r="T79" s="411">
        <f t="shared" si="120"/>
        <v>81400</v>
      </c>
      <c r="U79" s="409">
        <f>1*4*12500</f>
        <v>50000</v>
      </c>
      <c r="V79" s="412">
        <f t="shared" si="102"/>
        <v>2578500</v>
      </c>
      <c r="W79" s="124"/>
      <c r="X79" s="124"/>
      <c r="Y79" s="124"/>
      <c r="Z79" s="124"/>
      <c r="AA79" s="124">
        <f t="shared" si="105"/>
        <v>0</v>
      </c>
      <c r="AB79" s="124"/>
      <c r="AC79" s="124"/>
      <c r="AD79" s="124">
        <f t="shared" si="106"/>
        <v>0</v>
      </c>
      <c r="AE79" s="412"/>
      <c r="AF79" s="412">
        <f t="shared" si="107"/>
        <v>0</v>
      </c>
      <c r="AG79" s="409">
        <f t="shared" si="108"/>
        <v>3700</v>
      </c>
      <c r="AH79" s="124"/>
      <c r="AI79" s="411">
        <f t="shared" si="109"/>
        <v>0</v>
      </c>
      <c r="AJ79" s="410">
        <f>K79/22*1</f>
        <v>78636.363636363632</v>
      </c>
      <c r="AK79" s="124"/>
      <c r="AL79" s="124">
        <f t="shared" si="110"/>
        <v>0</v>
      </c>
      <c r="AM79" s="124"/>
      <c r="AN79" s="124"/>
      <c r="AO79" s="124">
        <f t="shared" si="111"/>
        <v>0</v>
      </c>
      <c r="AP79" s="124"/>
      <c r="AQ79" s="124"/>
      <c r="AR79" s="124">
        <f t="shared" si="112"/>
        <v>0</v>
      </c>
      <c r="AS79" s="411">
        <f t="shared" si="113"/>
        <v>0</v>
      </c>
      <c r="AT79" s="412">
        <f t="shared" si="114"/>
        <v>2578500</v>
      </c>
      <c r="AU79" s="414">
        <v>100000</v>
      </c>
      <c r="AV79" s="409">
        <v>923000</v>
      </c>
      <c r="AW79" s="413">
        <v>15000</v>
      </c>
      <c r="AX79" s="409"/>
      <c r="AY79" s="414"/>
      <c r="AZ79" s="411">
        <v>220000</v>
      </c>
      <c r="BA79" s="415">
        <f t="shared" si="115"/>
        <v>1320500</v>
      </c>
      <c r="BB79" s="414">
        <v>100000</v>
      </c>
      <c r="BC79" s="409"/>
      <c r="BD79" s="413">
        <v>15000</v>
      </c>
      <c r="BE79" s="409"/>
      <c r="BF79" s="414">
        <v>100000</v>
      </c>
      <c r="BG79" s="411">
        <f>220000</f>
        <v>220000</v>
      </c>
      <c r="BH79" s="415">
        <f t="shared" si="116"/>
        <v>2143500</v>
      </c>
    </row>
    <row r="80" spans="1:60" s="416" customFormat="1" ht="18.75" customHeight="1" x14ac:dyDescent="0.25">
      <c r="A80" s="402">
        <v>78</v>
      </c>
      <c r="B80" s="403">
        <v>77</v>
      </c>
      <c r="C80" s="429" t="s">
        <v>127</v>
      </c>
      <c r="D80" s="427" t="s">
        <v>244</v>
      </c>
      <c r="E80" s="279" t="s">
        <v>419</v>
      </c>
      <c r="F80" s="124"/>
      <c r="G80" s="124"/>
      <c r="H80" s="124"/>
      <c r="I80" s="406" t="s">
        <v>286</v>
      </c>
      <c r="J80" s="124" t="s">
        <v>293</v>
      </c>
      <c r="K80" s="407">
        <f t="shared" si="121"/>
        <v>1730000</v>
      </c>
      <c r="L80" s="408">
        <v>600000</v>
      </c>
      <c r="M80" s="124">
        <v>50000</v>
      </c>
      <c r="N80" s="407">
        <f>K80*5/100</f>
        <v>86500</v>
      </c>
      <c r="O80" s="410">
        <v>0</v>
      </c>
      <c r="P80" s="124">
        <v>32500</v>
      </c>
      <c r="Q80" s="407"/>
      <c r="R80" s="124">
        <v>11000</v>
      </c>
      <c r="S80" s="124">
        <v>22</v>
      </c>
      <c r="T80" s="411">
        <f t="shared" si="120"/>
        <v>242000</v>
      </c>
      <c r="U80" s="409">
        <f>1*4*12500</f>
        <v>50000</v>
      </c>
      <c r="V80" s="412">
        <f t="shared" si="102"/>
        <v>2791000</v>
      </c>
      <c r="W80" s="124"/>
      <c r="X80" s="124"/>
      <c r="Y80" s="124">
        <v>12500</v>
      </c>
      <c r="Z80" s="124"/>
      <c r="AA80" s="124">
        <f t="shared" si="105"/>
        <v>0</v>
      </c>
      <c r="AB80" s="124"/>
      <c r="AC80" s="124"/>
      <c r="AD80" s="124">
        <f t="shared" si="106"/>
        <v>0</v>
      </c>
      <c r="AE80" s="412"/>
      <c r="AF80" s="412">
        <f t="shared" si="107"/>
        <v>0</v>
      </c>
      <c r="AG80" s="409">
        <v>13000</v>
      </c>
      <c r="AH80" s="124"/>
      <c r="AI80" s="411">
        <f t="shared" si="109"/>
        <v>0</v>
      </c>
      <c r="AJ80" s="410">
        <f t="shared" ref="AJ80:AJ85" si="122">K80/22</f>
        <v>78636.363636363632</v>
      </c>
      <c r="AK80" s="124"/>
      <c r="AL80" s="124">
        <f t="shared" si="110"/>
        <v>0</v>
      </c>
      <c r="AM80" s="124"/>
      <c r="AN80" s="124"/>
      <c r="AO80" s="124">
        <f t="shared" si="111"/>
        <v>0</v>
      </c>
      <c r="AP80" s="124"/>
      <c r="AQ80" s="124"/>
      <c r="AR80" s="124">
        <f t="shared" si="112"/>
        <v>0</v>
      </c>
      <c r="AS80" s="411">
        <f t="shared" si="113"/>
        <v>0</v>
      </c>
      <c r="AT80" s="412">
        <f t="shared" si="114"/>
        <v>2791000</v>
      </c>
      <c r="AU80" s="414"/>
      <c r="AV80" s="409"/>
      <c r="AW80" s="413">
        <v>15000</v>
      </c>
      <c r="AX80" s="409">
        <f>22726</f>
        <v>22726</v>
      </c>
      <c r="AY80" s="414"/>
      <c r="AZ80" s="124"/>
      <c r="BA80" s="415">
        <f t="shared" si="115"/>
        <v>2753274</v>
      </c>
      <c r="BB80" s="124"/>
      <c r="BC80" s="409"/>
      <c r="BD80" s="413">
        <v>15000</v>
      </c>
      <c r="BE80" s="409">
        <v>24509</v>
      </c>
      <c r="BF80" s="414"/>
      <c r="BG80" s="313">
        <f>24509*3</f>
        <v>73527</v>
      </c>
      <c r="BH80" s="415">
        <f t="shared" si="116"/>
        <v>2677964</v>
      </c>
    </row>
    <row r="81" spans="1:60" s="416" customFormat="1" ht="15.75" x14ac:dyDescent="0.25">
      <c r="A81" s="402">
        <v>79</v>
      </c>
      <c r="B81" s="403">
        <v>78</v>
      </c>
      <c r="C81" s="430" t="s">
        <v>58</v>
      </c>
      <c r="D81" s="427" t="s">
        <v>240</v>
      </c>
      <c r="E81" s="279" t="s">
        <v>476</v>
      </c>
      <c r="F81" s="124"/>
      <c r="G81" s="124"/>
      <c r="H81" s="124"/>
      <c r="I81" s="406" t="s">
        <v>280</v>
      </c>
      <c r="J81" s="124" t="s">
        <v>291</v>
      </c>
      <c r="K81" s="407">
        <f t="shared" si="121"/>
        <v>1730000</v>
      </c>
      <c r="L81" s="408">
        <v>600000</v>
      </c>
      <c r="M81" s="124">
        <v>50000</v>
      </c>
      <c r="N81" s="410">
        <f>K81*5/100</f>
        <v>86500</v>
      </c>
      <c r="O81" s="410">
        <f>K81*2/100</f>
        <v>34600</v>
      </c>
      <c r="P81" s="410">
        <f>P79</f>
        <v>32500</v>
      </c>
      <c r="Q81" s="407"/>
      <c r="R81" s="124">
        <v>5500</v>
      </c>
      <c r="S81" s="124">
        <v>22</v>
      </c>
      <c r="T81" s="411">
        <f t="shared" si="120"/>
        <v>121000</v>
      </c>
      <c r="U81" s="409">
        <f>4*4*12500</f>
        <v>200000</v>
      </c>
      <c r="V81" s="412">
        <f t="shared" si="102"/>
        <v>2854600</v>
      </c>
      <c r="W81" s="124"/>
      <c r="X81" s="124"/>
      <c r="Y81" s="124"/>
      <c r="Z81" s="124"/>
      <c r="AA81" s="124">
        <f t="shared" si="105"/>
        <v>0</v>
      </c>
      <c r="AB81" s="124"/>
      <c r="AC81" s="124"/>
      <c r="AD81" s="124">
        <f t="shared" si="106"/>
        <v>0</v>
      </c>
      <c r="AE81" s="412"/>
      <c r="AF81" s="412">
        <f t="shared" si="107"/>
        <v>0</v>
      </c>
      <c r="AG81" s="409">
        <f t="shared" si="108"/>
        <v>5500</v>
      </c>
      <c r="AH81" s="124"/>
      <c r="AI81" s="411">
        <f t="shared" si="109"/>
        <v>0</v>
      </c>
      <c r="AJ81" s="410">
        <f t="shared" si="122"/>
        <v>78636.363636363632</v>
      </c>
      <c r="AK81" s="124"/>
      <c r="AL81" s="124">
        <f t="shared" si="110"/>
        <v>0</v>
      </c>
      <c r="AM81" s="124"/>
      <c r="AN81" s="124"/>
      <c r="AO81" s="124">
        <f t="shared" si="111"/>
        <v>0</v>
      </c>
      <c r="AP81" s="124"/>
      <c r="AQ81" s="124"/>
      <c r="AR81" s="124">
        <f t="shared" si="112"/>
        <v>0</v>
      </c>
      <c r="AS81" s="411">
        <f t="shared" si="113"/>
        <v>0</v>
      </c>
      <c r="AT81" s="412">
        <f t="shared" si="114"/>
        <v>2854600</v>
      </c>
      <c r="AU81" s="414">
        <v>100000</v>
      </c>
      <c r="AV81" s="409"/>
      <c r="AW81" s="413">
        <v>15000</v>
      </c>
      <c r="AX81" s="409"/>
      <c r="AY81" s="124"/>
      <c r="AZ81" s="124"/>
      <c r="BA81" s="415">
        <f t="shared" si="115"/>
        <v>2739600</v>
      </c>
      <c r="BB81" s="124"/>
      <c r="BC81" s="409"/>
      <c r="BD81" s="413">
        <v>15000</v>
      </c>
      <c r="BE81" s="409">
        <f>24509*2</f>
        <v>49018</v>
      </c>
      <c r="BF81" s="124"/>
      <c r="BG81" s="124">
        <v>0</v>
      </c>
      <c r="BH81" s="415">
        <f t="shared" si="116"/>
        <v>2790582</v>
      </c>
    </row>
    <row r="82" spans="1:60" s="416" customFormat="1" ht="15.75" x14ac:dyDescent="0.25">
      <c r="A82" s="402">
        <v>80</v>
      </c>
      <c r="B82" s="403">
        <v>79</v>
      </c>
      <c r="C82" s="426" t="s">
        <v>61</v>
      </c>
      <c r="D82" s="427" t="s">
        <v>237</v>
      </c>
      <c r="E82" s="280" t="s">
        <v>477</v>
      </c>
      <c r="F82" s="124"/>
      <c r="G82" s="124"/>
      <c r="H82" s="124"/>
      <c r="I82" s="431" t="s">
        <v>451</v>
      </c>
      <c r="J82" s="124" t="s">
        <v>292</v>
      </c>
      <c r="K82" s="407">
        <f>SUM(1730000*80%)</f>
        <v>1384000</v>
      </c>
      <c r="L82" s="408">
        <v>600000</v>
      </c>
      <c r="M82" s="124"/>
      <c r="N82" s="124"/>
      <c r="O82" s="124"/>
      <c r="P82" s="124"/>
      <c r="Q82" s="407"/>
      <c r="R82" s="124">
        <v>3700</v>
      </c>
      <c r="S82" s="124">
        <v>22</v>
      </c>
      <c r="T82" s="411">
        <f t="shared" si="120"/>
        <v>81400</v>
      </c>
      <c r="U82" s="124">
        <f>8*4*12500</f>
        <v>400000</v>
      </c>
      <c r="V82" s="412">
        <f t="shared" si="102"/>
        <v>2465400</v>
      </c>
      <c r="W82" s="124"/>
      <c r="X82" s="124"/>
      <c r="Y82" s="124"/>
      <c r="Z82" s="124"/>
      <c r="AA82" s="124">
        <f t="shared" si="105"/>
        <v>0</v>
      </c>
      <c r="AB82" s="124"/>
      <c r="AC82" s="124"/>
      <c r="AD82" s="124">
        <f t="shared" si="106"/>
        <v>0</v>
      </c>
      <c r="AE82" s="412"/>
      <c r="AF82" s="412">
        <f t="shared" si="107"/>
        <v>0</v>
      </c>
      <c r="AG82" s="409">
        <f t="shared" si="108"/>
        <v>3700</v>
      </c>
      <c r="AH82" s="124"/>
      <c r="AI82" s="411">
        <f t="shared" si="109"/>
        <v>0</v>
      </c>
      <c r="AJ82" s="432">
        <f t="shared" si="122"/>
        <v>62909.090909090912</v>
      </c>
      <c r="AK82" s="124"/>
      <c r="AL82" s="124">
        <f t="shared" si="110"/>
        <v>0</v>
      </c>
      <c r="AM82" s="124"/>
      <c r="AN82" s="124"/>
      <c r="AO82" s="124">
        <f t="shared" si="111"/>
        <v>0</v>
      </c>
      <c r="AP82" s="124"/>
      <c r="AQ82" s="124"/>
      <c r="AR82" s="124">
        <f t="shared" si="112"/>
        <v>0</v>
      </c>
      <c r="AS82" s="411">
        <f t="shared" si="113"/>
        <v>0</v>
      </c>
      <c r="AT82" s="412">
        <f t="shared" si="114"/>
        <v>2465400</v>
      </c>
      <c r="AU82" s="414"/>
      <c r="AV82" s="409"/>
      <c r="AW82" s="413">
        <v>15000</v>
      </c>
      <c r="AX82" s="409">
        <f>22726*2+68178</f>
        <v>113630</v>
      </c>
      <c r="AY82" s="124"/>
      <c r="AZ82" s="124"/>
      <c r="BA82" s="415">
        <f t="shared" si="115"/>
        <v>2336770</v>
      </c>
      <c r="BB82" s="414"/>
      <c r="BC82" s="409"/>
      <c r="BD82" s="413">
        <v>15000</v>
      </c>
      <c r="BE82" s="409">
        <v>24509</v>
      </c>
      <c r="BF82" s="414"/>
      <c r="BG82" s="124"/>
      <c r="BH82" s="415">
        <f t="shared" si="116"/>
        <v>2425891</v>
      </c>
    </row>
    <row r="83" spans="1:60" s="416" customFormat="1" ht="15.75" customHeight="1" x14ac:dyDescent="0.25">
      <c r="A83" s="402">
        <v>81</v>
      </c>
      <c r="B83" s="403">
        <v>80</v>
      </c>
      <c r="C83" s="429" t="s">
        <v>87</v>
      </c>
      <c r="D83" s="427" t="s">
        <v>242</v>
      </c>
      <c r="E83" s="279" t="s">
        <v>478</v>
      </c>
      <c r="F83" s="124"/>
      <c r="G83" s="124"/>
      <c r="H83" s="124"/>
      <c r="I83" s="406" t="s">
        <v>286</v>
      </c>
      <c r="J83" s="124" t="s">
        <v>293</v>
      </c>
      <c r="K83" s="407">
        <f>SUM(1830000*100%)</f>
        <v>1830000</v>
      </c>
      <c r="L83" s="408">
        <v>600000</v>
      </c>
      <c r="M83" s="124">
        <v>50000</v>
      </c>
      <c r="N83" s="410">
        <f>K83*5/100</f>
        <v>91500</v>
      </c>
      <c r="O83" s="410">
        <f>K83*2/100</f>
        <v>36600</v>
      </c>
      <c r="P83" s="410">
        <f>P81</f>
        <v>32500</v>
      </c>
      <c r="Q83" s="407"/>
      <c r="R83" s="124">
        <v>13000</v>
      </c>
      <c r="S83" s="124">
        <v>22</v>
      </c>
      <c r="T83" s="411">
        <f t="shared" si="120"/>
        <v>286000</v>
      </c>
      <c r="U83" s="124">
        <f>4*4*12500</f>
        <v>200000</v>
      </c>
      <c r="V83" s="412">
        <f t="shared" si="102"/>
        <v>3126600</v>
      </c>
      <c r="W83" s="124"/>
      <c r="X83" s="124"/>
      <c r="Y83" s="124"/>
      <c r="Z83" s="124"/>
      <c r="AA83" s="124">
        <f t="shared" si="105"/>
        <v>0</v>
      </c>
      <c r="AB83" s="124"/>
      <c r="AC83" s="124"/>
      <c r="AD83" s="124">
        <f t="shared" si="106"/>
        <v>0</v>
      </c>
      <c r="AE83" s="412"/>
      <c r="AF83" s="412">
        <f t="shared" si="107"/>
        <v>0</v>
      </c>
      <c r="AG83" s="409">
        <f t="shared" si="108"/>
        <v>13000</v>
      </c>
      <c r="AH83" s="124"/>
      <c r="AI83" s="411">
        <f t="shared" si="109"/>
        <v>0</v>
      </c>
      <c r="AJ83" s="410">
        <f t="shared" si="122"/>
        <v>83181.818181818177</v>
      </c>
      <c r="AK83" s="124"/>
      <c r="AL83" s="124">
        <f t="shared" si="110"/>
        <v>0</v>
      </c>
      <c r="AM83" s="124"/>
      <c r="AN83" s="124"/>
      <c r="AO83" s="124">
        <f t="shared" si="111"/>
        <v>0</v>
      </c>
      <c r="AP83" s="124"/>
      <c r="AQ83" s="124"/>
      <c r="AR83" s="124">
        <f t="shared" si="112"/>
        <v>0</v>
      </c>
      <c r="AS83" s="411">
        <f t="shared" si="113"/>
        <v>0</v>
      </c>
      <c r="AT83" s="412">
        <f t="shared" si="114"/>
        <v>3126600</v>
      </c>
      <c r="AU83" s="124"/>
      <c r="AV83" s="409"/>
      <c r="AW83" s="413">
        <v>15000</v>
      </c>
      <c r="AX83" s="409">
        <f>22726*2</f>
        <v>45452</v>
      </c>
      <c r="AY83" s="124"/>
      <c r="AZ83" s="124">
        <f>325000</f>
        <v>325000</v>
      </c>
      <c r="BA83" s="415">
        <f t="shared" si="115"/>
        <v>2741148</v>
      </c>
      <c r="BB83" s="124"/>
      <c r="BC83" s="409"/>
      <c r="BD83" s="413">
        <v>15000</v>
      </c>
      <c r="BE83" s="409"/>
      <c r="BF83" s="124"/>
      <c r="BG83" s="124"/>
      <c r="BH83" s="415">
        <f t="shared" si="116"/>
        <v>3111600</v>
      </c>
    </row>
    <row r="84" spans="1:60" s="416" customFormat="1" ht="15.75" x14ac:dyDescent="0.25">
      <c r="A84" s="402">
        <v>84</v>
      </c>
      <c r="B84" s="403">
        <v>81</v>
      </c>
      <c r="C84" s="433" t="s">
        <v>88</v>
      </c>
      <c r="D84" s="434" t="s">
        <v>243</v>
      </c>
      <c r="E84" s="281" t="s">
        <v>479</v>
      </c>
      <c r="F84" s="124"/>
      <c r="G84" s="124"/>
      <c r="H84" s="124"/>
      <c r="I84" s="406" t="s">
        <v>286</v>
      </c>
      <c r="J84" s="124" t="s">
        <v>293</v>
      </c>
      <c r="K84" s="407">
        <f t="shared" ref="K84:K85" si="123">SUM(1730000*100%)</f>
        <v>1730000</v>
      </c>
      <c r="L84" s="408">
        <v>600000</v>
      </c>
      <c r="M84" s="124">
        <v>50000</v>
      </c>
      <c r="N84" s="124"/>
      <c r="O84" s="124"/>
      <c r="P84" s="410">
        <f>P82</f>
        <v>0</v>
      </c>
      <c r="Q84" s="407"/>
      <c r="R84" s="124">
        <v>9100</v>
      </c>
      <c r="S84" s="124">
        <v>22</v>
      </c>
      <c r="T84" s="411">
        <f t="shared" si="120"/>
        <v>200200</v>
      </c>
      <c r="U84" s="124">
        <f>8*4*12500</f>
        <v>400000</v>
      </c>
      <c r="V84" s="412">
        <f t="shared" si="102"/>
        <v>2980200</v>
      </c>
      <c r="W84" s="124"/>
      <c r="X84" s="124"/>
      <c r="Y84" s="124"/>
      <c r="Z84" s="124"/>
      <c r="AA84" s="124">
        <f t="shared" si="105"/>
        <v>0</v>
      </c>
      <c r="AB84" s="124"/>
      <c r="AC84" s="124"/>
      <c r="AD84" s="124">
        <f t="shared" si="106"/>
        <v>0</v>
      </c>
      <c r="AE84" s="412"/>
      <c r="AF84" s="412">
        <f t="shared" si="107"/>
        <v>0</v>
      </c>
      <c r="AG84" s="409">
        <f t="shared" si="108"/>
        <v>9100</v>
      </c>
      <c r="AH84" s="124"/>
      <c r="AI84" s="411">
        <f t="shared" si="109"/>
        <v>0</v>
      </c>
      <c r="AJ84" s="410">
        <f t="shared" si="122"/>
        <v>78636.363636363632</v>
      </c>
      <c r="AK84" s="124"/>
      <c r="AL84" s="124">
        <f t="shared" si="110"/>
        <v>0</v>
      </c>
      <c r="AM84" s="124"/>
      <c r="AN84" s="124"/>
      <c r="AO84" s="124">
        <f t="shared" si="111"/>
        <v>0</v>
      </c>
      <c r="AP84" s="124"/>
      <c r="AQ84" s="124"/>
      <c r="AR84" s="124">
        <f t="shared" si="112"/>
        <v>0</v>
      </c>
      <c r="AS84" s="411">
        <f t="shared" si="113"/>
        <v>0</v>
      </c>
      <c r="AT84" s="412">
        <f t="shared" si="114"/>
        <v>2980200</v>
      </c>
      <c r="AU84" s="124"/>
      <c r="AV84" s="409"/>
      <c r="AW84" s="413">
        <v>15000</v>
      </c>
      <c r="AX84" s="409"/>
      <c r="AY84" s="124"/>
      <c r="AZ84" s="124"/>
      <c r="BA84" s="415">
        <f t="shared" si="115"/>
        <v>2965200</v>
      </c>
      <c r="BB84" s="124"/>
      <c r="BC84" s="409"/>
      <c r="BD84" s="413">
        <v>15000</v>
      </c>
      <c r="BE84" s="409"/>
      <c r="BF84" s="414"/>
      <c r="BG84" s="124"/>
      <c r="BH84" s="415">
        <f t="shared" si="116"/>
        <v>2965200</v>
      </c>
    </row>
    <row r="85" spans="1:60" s="416" customFormat="1" ht="15" x14ac:dyDescent="0.25">
      <c r="A85" s="402">
        <v>85</v>
      </c>
      <c r="B85" s="403">
        <v>82</v>
      </c>
      <c r="C85" s="433" t="s">
        <v>245</v>
      </c>
      <c r="D85" s="427"/>
      <c r="E85" s="433" t="s">
        <v>44</v>
      </c>
      <c r="F85" s="124"/>
      <c r="G85" s="124"/>
      <c r="H85" s="124"/>
      <c r="I85" s="435" t="s">
        <v>484</v>
      </c>
      <c r="J85" s="124" t="s">
        <v>418</v>
      </c>
      <c r="K85" s="407">
        <f t="shared" si="123"/>
        <v>1730000</v>
      </c>
      <c r="L85" s="436">
        <v>100000</v>
      </c>
      <c r="M85" s="124"/>
      <c r="N85" s="124"/>
      <c r="O85" s="124"/>
      <c r="P85" s="409"/>
      <c r="Q85" s="407"/>
      <c r="R85" s="124">
        <v>7300</v>
      </c>
      <c r="S85" s="124">
        <v>22</v>
      </c>
      <c r="T85" s="411">
        <f t="shared" si="120"/>
        <v>160600</v>
      </c>
      <c r="U85" s="124">
        <f>1*4*12500</f>
        <v>50000</v>
      </c>
      <c r="V85" s="412">
        <f t="shared" si="102"/>
        <v>2040600</v>
      </c>
      <c r="W85" s="124"/>
      <c r="X85" s="124"/>
      <c r="Y85" s="124">
        <v>12500</v>
      </c>
      <c r="Z85" s="124"/>
      <c r="AA85" s="124">
        <f t="shared" si="105"/>
        <v>0</v>
      </c>
      <c r="AB85" s="124"/>
      <c r="AC85" s="124"/>
      <c r="AD85" s="124">
        <f t="shared" si="106"/>
        <v>0</v>
      </c>
      <c r="AE85" s="412"/>
      <c r="AF85" s="412">
        <f t="shared" si="107"/>
        <v>0</v>
      </c>
      <c r="AG85" s="409">
        <f t="shared" si="108"/>
        <v>7300</v>
      </c>
      <c r="AH85" s="124"/>
      <c r="AI85" s="411">
        <f t="shared" si="109"/>
        <v>0</v>
      </c>
      <c r="AJ85" s="410">
        <f t="shared" si="122"/>
        <v>78636.363636363632</v>
      </c>
      <c r="AK85" s="124"/>
      <c r="AL85" s="124">
        <f t="shared" si="110"/>
        <v>0</v>
      </c>
      <c r="AM85" s="124"/>
      <c r="AN85" s="124"/>
      <c r="AO85" s="124">
        <f t="shared" si="111"/>
        <v>0</v>
      </c>
      <c r="AP85" s="124"/>
      <c r="AQ85" s="124"/>
      <c r="AR85" s="124">
        <f t="shared" si="112"/>
        <v>0</v>
      </c>
      <c r="AS85" s="411">
        <f t="shared" si="113"/>
        <v>0</v>
      </c>
      <c r="AT85" s="412">
        <f t="shared" si="114"/>
        <v>2040600</v>
      </c>
      <c r="AU85" s="124"/>
      <c r="AV85" s="409"/>
      <c r="AW85" s="413">
        <v>15000</v>
      </c>
      <c r="AX85" s="409"/>
      <c r="AY85" s="414"/>
      <c r="AZ85" s="124"/>
      <c r="BA85" s="415">
        <f t="shared" si="115"/>
        <v>2025600</v>
      </c>
      <c r="BB85" s="124"/>
      <c r="BC85" s="409"/>
      <c r="BD85" s="413">
        <v>15000</v>
      </c>
      <c r="BE85" s="409"/>
      <c r="BF85" s="124"/>
      <c r="BG85" s="124"/>
      <c r="BH85" s="415">
        <f t="shared" si="116"/>
        <v>2025600</v>
      </c>
    </row>
    <row r="86" spans="1:60" s="416" customFormat="1" ht="15" x14ac:dyDescent="0.25">
      <c r="A86" s="402"/>
      <c r="B86" s="403">
        <v>83</v>
      </c>
      <c r="C86" s="437" t="s">
        <v>368</v>
      </c>
      <c r="D86" s="438"/>
      <c r="E86" s="433" t="s">
        <v>44</v>
      </c>
      <c r="F86" s="124"/>
      <c r="G86" s="124"/>
      <c r="H86" s="124"/>
      <c r="I86" s="439">
        <v>45170</v>
      </c>
      <c r="J86" s="124"/>
      <c r="K86" s="407">
        <f>SUM(1730000*80%)</f>
        <v>1384000</v>
      </c>
      <c r="L86" s="315">
        <v>700000</v>
      </c>
      <c r="M86" s="124"/>
      <c r="N86" s="124"/>
      <c r="O86" s="124"/>
      <c r="P86" s="440"/>
      <c r="Q86" s="409"/>
      <c r="R86" s="124">
        <v>11000</v>
      </c>
      <c r="S86" s="124">
        <v>22</v>
      </c>
      <c r="T86" s="411">
        <f>R86*S86</f>
        <v>242000</v>
      </c>
      <c r="U86" s="509">
        <f>8*4*12500</f>
        <v>400000</v>
      </c>
      <c r="V86" s="412">
        <f t="shared" si="102"/>
        <v>2726000</v>
      </c>
      <c r="W86" s="124"/>
      <c r="X86" s="124"/>
      <c r="Y86" s="124"/>
      <c r="Z86" s="124"/>
      <c r="AA86" s="124">
        <f t="shared" si="105"/>
        <v>0</v>
      </c>
      <c r="AB86" s="124"/>
      <c r="AC86" s="124"/>
      <c r="AD86" s="124">
        <f t="shared" si="106"/>
        <v>0</v>
      </c>
      <c r="AE86" s="412"/>
      <c r="AF86" s="412">
        <f t="shared" si="107"/>
        <v>0</v>
      </c>
      <c r="AG86" s="409">
        <f t="shared" si="108"/>
        <v>11000</v>
      </c>
      <c r="AH86" s="124"/>
      <c r="AI86" s="411">
        <f t="shared" si="109"/>
        <v>0</v>
      </c>
      <c r="AJ86" s="409"/>
      <c r="AK86" s="409"/>
      <c r="AL86" s="124">
        <f t="shared" si="110"/>
        <v>0</v>
      </c>
      <c r="AM86" s="124"/>
      <c r="AN86" s="124"/>
      <c r="AO86" s="124"/>
      <c r="AP86" s="124"/>
      <c r="AQ86" s="124"/>
      <c r="AR86" s="124"/>
      <c r="AS86" s="411">
        <f t="shared" si="113"/>
        <v>0</v>
      </c>
      <c r="AT86" s="412">
        <f t="shared" si="114"/>
        <v>2726000</v>
      </c>
      <c r="AU86" s="124"/>
      <c r="AV86" s="409"/>
      <c r="AW86" s="413"/>
      <c r="AX86" s="409"/>
      <c r="AY86" s="124"/>
      <c r="AZ86" s="409"/>
      <c r="BA86" s="415"/>
      <c r="BB86" s="124"/>
      <c r="BC86" s="409"/>
      <c r="BD86" s="413">
        <v>15000</v>
      </c>
      <c r="BE86" s="409"/>
      <c r="BF86" s="124"/>
      <c r="BG86" s="124"/>
      <c r="BH86" s="415">
        <f t="shared" si="116"/>
        <v>2711000</v>
      </c>
    </row>
    <row r="87" spans="1:60" s="416" customFormat="1" ht="13.5" customHeight="1" x14ac:dyDescent="0.25">
      <c r="A87" s="403"/>
      <c r="B87" s="403">
        <v>84</v>
      </c>
      <c r="C87" s="124" t="s">
        <v>41</v>
      </c>
      <c r="D87" s="427" t="s">
        <v>238</v>
      </c>
      <c r="E87" s="278" t="s">
        <v>480</v>
      </c>
      <c r="F87" s="124"/>
      <c r="G87" s="124"/>
      <c r="H87" s="124"/>
      <c r="I87" s="406">
        <v>42933</v>
      </c>
      <c r="J87" s="124" t="s">
        <v>291</v>
      </c>
      <c r="K87" s="407">
        <f t="shared" ref="K87:K88" si="124">SUM(1730000*100%)</f>
        <v>1730000</v>
      </c>
      <c r="L87" s="418">
        <v>600000</v>
      </c>
      <c r="M87" s="124">
        <v>50000</v>
      </c>
      <c r="N87" s="410">
        <f>K87*5/100</f>
        <v>86500</v>
      </c>
      <c r="O87" s="124"/>
      <c r="P87" s="124">
        <v>32500</v>
      </c>
      <c r="Q87" s="407"/>
      <c r="R87" s="124">
        <v>3700</v>
      </c>
      <c r="S87" s="124">
        <v>22</v>
      </c>
      <c r="T87" s="411">
        <f t="shared" ref="T87:T91" si="125">R87*S87</f>
        <v>81400</v>
      </c>
      <c r="U87" s="124">
        <f>8*4*12500</f>
        <v>400000</v>
      </c>
      <c r="V87" s="412">
        <f t="shared" si="102"/>
        <v>2980400</v>
      </c>
      <c r="W87" s="124"/>
      <c r="X87" s="124"/>
      <c r="Y87" s="124">
        <v>12500</v>
      </c>
      <c r="Z87" s="124"/>
      <c r="AA87" s="124">
        <f t="shared" si="105"/>
        <v>0</v>
      </c>
      <c r="AB87" s="124"/>
      <c r="AC87" s="412"/>
      <c r="AD87" s="124">
        <f t="shared" si="106"/>
        <v>0</v>
      </c>
      <c r="AE87" s="124"/>
      <c r="AF87" s="412">
        <f t="shared" si="107"/>
        <v>0</v>
      </c>
      <c r="AG87" s="409">
        <f t="shared" si="108"/>
        <v>3700</v>
      </c>
      <c r="AH87" s="410"/>
      <c r="AI87" s="411">
        <f t="shared" si="109"/>
        <v>0</v>
      </c>
      <c r="AJ87" s="432">
        <f>K87/22</f>
        <v>78636.363636363632</v>
      </c>
      <c r="AK87" s="124"/>
      <c r="AL87" s="124">
        <f t="shared" si="110"/>
        <v>0</v>
      </c>
      <c r="AM87" s="124"/>
      <c r="AN87" s="124"/>
      <c r="AO87" s="124">
        <f t="shared" si="111"/>
        <v>0</v>
      </c>
      <c r="AP87" s="124"/>
      <c r="AQ87" s="411"/>
      <c r="AR87" s="124">
        <f t="shared" si="112"/>
        <v>0</v>
      </c>
      <c r="AS87" s="411">
        <f t="shared" si="113"/>
        <v>0</v>
      </c>
      <c r="AT87" s="412">
        <f t="shared" si="114"/>
        <v>2980400</v>
      </c>
      <c r="AU87" s="414">
        <v>100000</v>
      </c>
      <c r="AV87" s="409">
        <v>1138000</v>
      </c>
      <c r="AW87" s="413">
        <v>15000</v>
      </c>
      <c r="AX87" s="409">
        <f>68178+22726</f>
        <v>90904</v>
      </c>
      <c r="AY87" s="414">
        <v>100000</v>
      </c>
      <c r="AZ87" s="124"/>
      <c r="BA87" s="415">
        <f t="shared" si="115"/>
        <v>1536496</v>
      </c>
      <c r="BB87" s="414">
        <v>100000</v>
      </c>
      <c r="BC87" s="409"/>
      <c r="BD87" s="413">
        <v>15000</v>
      </c>
      <c r="BE87" s="409"/>
      <c r="BF87" s="124"/>
      <c r="BG87" s="124"/>
      <c r="BH87" s="415">
        <f t="shared" si="116"/>
        <v>2865400</v>
      </c>
    </row>
    <row r="88" spans="1:60" s="416" customFormat="1" ht="15.75" x14ac:dyDescent="0.25">
      <c r="A88" s="441"/>
      <c r="B88" s="403">
        <v>85</v>
      </c>
      <c r="C88" s="124" t="s">
        <v>421</v>
      </c>
      <c r="D88" s="427"/>
      <c r="E88" s="275" t="s">
        <v>422</v>
      </c>
      <c r="F88" s="124"/>
      <c r="G88" s="124"/>
      <c r="H88" s="124"/>
      <c r="I88" s="406" t="s">
        <v>423</v>
      </c>
      <c r="J88" s="124" t="s">
        <v>424</v>
      </c>
      <c r="K88" s="407">
        <f t="shared" si="124"/>
        <v>1730000</v>
      </c>
      <c r="L88" s="418">
        <v>0</v>
      </c>
      <c r="M88" s="124"/>
      <c r="N88" s="410"/>
      <c r="O88" s="124"/>
      <c r="P88" s="124"/>
      <c r="Q88" s="407"/>
      <c r="R88" s="124">
        <v>13000</v>
      </c>
      <c r="S88" s="124">
        <v>22</v>
      </c>
      <c r="T88" s="411">
        <f t="shared" si="125"/>
        <v>286000</v>
      </c>
      <c r="U88" s="124">
        <f>6*4*12500</f>
        <v>300000</v>
      </c>
      <c r="V88" s="412">
        <f t="shared" si="102"/>
        <v>2316000</v>
      </c>
      <c r="W88" s="124"/>
      <c r="X88" s="124"/>
      <c r="Y88" s="124"/>
      <c r="Z88" s="124"/>
      <c r="AA88" s="124">
        <f t="shared" si="105"/>
        <v>0</v>
      </c>
      <c r="AB88" s="124"/>
      <c r="AC88" s="412"/>
      <c r="AD88" s="124">
        <f t="shared" si="106"/>
        <v>0</v>
      </c>
      <c r="AE88" s="124"/>
      <c r="AF88" s="412">
        <f t="shared" si="107"/>
        <v>0</v>
      </c>
      <c r="AG88" s="409">
        <f t="shared" si="108"/>
        <v>13000</v>
      </c>
      <c r="AH88" s="410"/>
      <c r="AI88" s="411">
        <f t="shared" si="109"/>
        <v>0</v>
      </c>
      <c r="AJ88" s="432">
        <f>K88/22</f>
        <v>78636.363636363632</v>
      </c>
      <c r="AK88" s="124"/>
      <c r="AL88" s="124">
        <f t="shared" si="110"/>
        <v>0</v>
      </c>
      <c r="AM88" s="124"/>
      <c r="AN88" s="124"/>
      <c r="AO88" s="124"/>
      <c r="AP88" s="124"/>
      <c r="AQ88" s="411"/>
      <c r="AR88" s="124"/>
      <c r="AS88" s="411">
        <f t="shared" si="113"/>
        <v>0</v>
      </c>
      <c r="AT88" s="412">
        <f t="shared" si="114"/>
        <v>2316000</v>
      </c>
      <c r="AU88" s="414"/>
      <c r="AV88" s="409"/>
      <c r="AW88" s="413"/>
      <c r="AX88" s="409"/>
      <c r="AY88" s="414"/>
      <c r="AZ88" s="124"/>
      <c r="BA88" s="415"/>
      <c r="BB88" s="124"/>
      <c r="BC88" s="409"/>
      <c r="BD88" s="413">
        <v>15000</v>
      </c>
      <c r="BE88" s="409"/>
      <c r="BF88" s="414"/>
      <c r="BG88" s="124"/>
      <c r="BH88" s="415">
        <f t="shared" si="116"/>
        <v>2301000</v>
      </c>
    </row>
    <row r="89" spans="1:60" s="444" customFormat="1" ht="14.25" customHeight="1" x14ac:dyDescent="0.25">
      <c r="A89" s="442"/>
      <c r="B89" s="403">
        <v>86</v>
      </c>
      <c r="C89" s="429" t="s">
        <v>62</v>
      </c>
      <c r="D89" s="425" t="s">
        <v>239</v>
      </c>
      <c r="E89" s="124" t="s">
        <v>420</v>
      </c>
      <c r="F89" s="124"/>
      <c r="G89" s="124"/>
      <c r="H89" s="124"/>
      <c r="I89" s="406">
        <v>41835</v>
      </c>
      <c r="J89" s="124" t="s">
        <v>296</v>
      </c>
      <c r="K89" s="407">
        <f t="shared" ref="K89:K90" si="126">SUM(1730000*100%)</f>
        <v>1730000</v>
      </c>
      <c r="L89" s="408">
        <v>0</v>
      </c>
      <c r="M89" s="124">
        <v>100000</v>
      </c>
      <c r="N89" s="410">
        <f t="shared" ref="N89:N91" si="127">K89*5/100</f>
        <v>86500</v>
      </c>
      <c r="O89" s="124"/>
      <c r="P89" s="124">
        <v>32500</v>
      </c>
      <c r="Q89" s="407"/>
      <c r="R89" s="124">
        <v>7300</v>
      </c>
      <c r="S89" s="124">
        <v>22</v>
      </c>
      <c r="T89" s="411">
        <f t="shared" si="125"/>
        <v>160600</v>
      </c>
      <c r="U89" s="124"/>
      <c r="V89" s="412">
        <f t="shared" si="102"/>
        <v>2109600</v>
      </c>
      <c r="W89" s="124"/>
      <c r="X89" s="443"/>
      <c r="Y89" s="124"/>
      <c r="Z89" s="124"/>
      <c r="AA89" s="124">
        <f t="shared" si="105"/>
        <v>0</v>
      </c>
      <c r="AB89" s="124"/>
      <c r="AC89" s="124"/>
      <c r="AD89" s="124">
        <f t="shared" si="106"/>
        <v>0</v>
      </c>
      <c r="AE89" s="412"/>
      <c r="AF89" s="412">
        <f t="shared" si="107"/>
        <v>0</v>
      </c>
      <c r="AG89" s="409">
        <f t="shared" si="108"/>
        <v>7300</v>
      </c>
      <c r="AH89" s="124"/>
      <c r="AI89" s="411">
        <f t="shared" si="109"/>
        <v>0</v>
      </c>
      <c r="AJ89" s="432">
        <f>K89/22</f>
        <v>78636.363636363632</v>
      </c>
      <c r="AK89" s="124"/>
      <c r="AL89" s="124">
        <f t="shared" si="110"/>
        <v>0</v>
      </c>
      <c r="AM89" s="124"/>
      <c r="AN89" s="124"/>
      <c r="AO89" s="124">
        <f t="shared" si="111"/>
        <v>0</v>
      </c>
      <c r="AP89" s="124"/>
      <c r="AQ89" s="124"/>
      <c r="AR89" s="124">
        <f t="shared" si="112"/>
        <v>0</v>
      </c>
      <c r="AS89" s="411">
        <f t="shared" si="113"/>
        <v>0</v>
      </c>
      <c r="AT89" s="412">
        <f t="shared" si="114"/>
        <v>2109600</v>
      </c>
      <c r="AU89" s="124"/>
      <c r="AV89" s="409"/>
      <c r="AW89" s="413">
        <v>15000</v>
      </c>
      <c r="AX89" s="409"/>
      <c r="AY89" s="124"/>
      <c r="AZ89" s="124"/>
      <c r="BA89" s="415">
        <f t="shared" si="115"/>
        <v>2094600</v>
      </c>
      <c r="BB89" s="414"/>
      <c r="BC89" s="409"/>
      <c r="BD89" s="413">
        <v>15000</v>
      </c>
      <c r="BE89" s="409">
        <f>24509*2+68178</f>
        <v>117196</v>
      </c>
      <c r="BF89" s="124"/>
      <c r="BG89" s="124"/>
      <c r="BH89" s="415">
        <f t="shared" si="116"/>
        <v>1977404</v>
      </c>
    </row>
    <row r="90" spans="1:60" s="444" customFormat="1" ht="14.25" customHeight="1" x14ac:dyDescent="0.2">
      <c r="A90" s="442"/>
      <c r="B90" s="403">
        <v>87</v>
      </c>
      <c r="C90" s="445" t="s">
        <v>213</v>
      </c>
      <c r="D90" s="446"/>
      <c r="E90" s="276" t="s">
        <v>481</v>
      </c>
      <c r="F90" s="446"/>
      <c r="G90" s="446"/>
      <c r="H90" s="446"/>
      <c r="I90" s="435">
        <v>44749</v>
      </c>
      <c r="J90" s="446" t="s">
        <v>298</v>
      </c>
      <c r="K90" s="407">
        <f t="shared" si="126"/>
        <v>1730000</v>
      </c>
      <c r="L90" s="436">
        <f>600000</f>
        <v>600000</v>
      </c>
      <c r="M90" s="124"/>
      <c r="N90" s="410"/>
      <c r="O90" s="124"/>
      <c r="P90" s="409"/>
      <c r="Q90" s="407"/>
      <c r="R90" s="124">
        <v>13000</v>
      </c>
      <c r="S90" s="124">
        <v>22</v>
      </c>
      <c r="T90" s="411">
        <f t="shared" si="125"/>
        <v>286000</v>
      </c>
      <c r="U90" s="124">
        <f>8*4*12500</f>
        <v>400000</v>
      </c>
      <c r="V90" s="412">
        <f t="shared" si="102"/>
        <v>3016000</v>
      </c>
      <c r="W90" s="447"/>
      <c r="X90" s="448"/>
      <c r="Y90" s="447"/>
      <c r="Z90" s="447"/>
      <c r="AA90" s="124">
        <f t="shared" si="105"/>
        <v>0</v>
      </c>
      <c r="AB90" s="447"/>
      <c r="AC90" s="447"/>
      <c r="AD90" s="124">
        <f t="shared" si="106"/>
        <v>0</v>
      </c>
      <c r="AE90" s="449"/>
      <c r="AF90" s="412">
        <f t="shared" si="107"/>
        <v>0</v>
      </c>
      <c r="AG90" s="409">
        <f t="shared" si="108"/>
        <v>13000</v>
      </c>
      <c r="AH90" s="447"/>
      <c r="AI90" s="411">
        <f t="shared" si="109"/>
        <v>0</v>
      </c>
      <c r="AJ90" s="432">
        <f>K90/22</f>
        <v>78636.363636363632</v>
      </c>
      <c r="AK90" s="447"/>
      <c r="AL90" s="124">
        <f t="shared" si="110"/>
        <v>0</v>
      </c>
      <c r="AM90" s="447"/>
      <c r="AN90" s="447"/>
      <c r="AO90" s="124"/>
      <c r="AP90" s="447"/>
      <c r="AQ90" s="447"/>
      <c r="AR90" s="124"/>
      <c r="AS90" s="411">
        <f t="shared" si="113"/>
        <v>0</v>
      </c>
      <c r="AT90" s="412">
        <f t="shared" si="114"/>
        <v>3016000</v>
      </c>
      <c r="AU90" s="124"/>
      <c r="AV90" s="409"/>
      <c r="AW90" s="413"/>
      <c r="AX90" s="409"/>
      <c r="AY90" s="124"/>
      <c r="AZ90" s="124"/>
      <c r="BA90" s="415"/>
      <c r="BB90" s="414"/>
      <c r="BC90" s="409"/>
      <c r="BD90" s="413">
        <v>15000</v>
      </c>
      <c r="BE90" s="409"/>
      <c r="BF90" s="414"/>
      <c r="BG90" s="124"/>
      <c r="BH90" s="415">
        <f t="shared" si="116"/>
        <v>3001000</v>
      </c>
    </row>
    <row r="91" spans="1:60" s="444" customFormat="1" ht="14.25" customHeight="1" x14ac:dyDescent="0.25">
      <c r="A91" s="442"/>
      <c r="B91" s="403">
        <v>88</v>
      </c>
      <c r="C91" s="124" t="s">
        <v>282</v>
      </c>
      <c r="D91" s="450"/>
      <c r="E91" s="277" t="s">
        <v>482</v>
      </c>
      <c r="F91" s="124"/>
      <c r="G91" s="124"/>
      <c r="H91" s="124"/>
      <c r="I91" s="406">
        <v>42933</v>
      </c>
      <c r="J91" s="411" t="s">
        <v>290</v>
      </c>
      <c r="K91" s="407">
        <f>SUM(1730000*100%)</f>
        <v>1730000</v>
      </c>
      <c r="L91" s="451">
        <v>600000</v>
      </c>
      <c r="M91" s="124">
        <v>50000</v>
      </c>
      <c r="N91" s="410">
        <f t="shared" si="127"/>
        <v>86500</v>
      </c>
      <c r="O91" s="409">
        <f>K91*2/100</f>
        <v>34600</v>
      </c>
      <c r="P91" s="410">
        <f>P89</f>
        <v>32500</v>
      </c>
      <c r="Q91" s="124"/>
      <c r="R91" s="411">
        <v>13000</v>
      </c>
      <c r="S91" s="124">
        <v>22</v>
      </c>
      <c r="T91" s="411">
        <f t="shared" si="125"/>
        <v>286000</v>
      </c>
      <c r="U91" s="124">
        <f>3*4*12500</f>
        <v>150000</v>
      </c>
      <c r="V91" s="412">
        <f t="shared" si="102"/>
        <v>2969600</v>
      </c>
      <c r="W91" s="447"/>
      <c r="X91" s="448"/>
      <c r="Y91" s="447"/>
      <c r="Z91" s="447"/>
      <c r="AA91" s="124">
        <f t="shared" si="105"/>
        <v>0</v>
      </c>
      <c r="AB91" s="447"/>
      <c r="AC91" s="447"/>
      <c r="AD91" s="124">
        <f t="shared" si="106"/>
        <v>0</v>
      </c>
      <c r="AE91" s="449"/>
      <c r="AF91" s="412">
        <f t="shared" si="107"/>
        <v>0</v>
      </c>
      <c r="AG91" s="409">
        <f t="shared" si="108"/>
        <v>13000</v>
      </c>
      <c r="AH91" s="447"/>
      <c r="AI91" s="411">
        <f t="shared" si="109"/>
        <v>0</v>
      </c>
      <c r="AJ91" s="452">
        <f>AJ11</f>
        <v>78636.363636363632</v>
      </c>
      <c r="AK91" s="447"/>
      <c r="AL91" s="124">
        <f t="shared" si="110"/>
        <v>0</v>
      </c>
      <c r="AM91" s="447"/>
      <c r="AN91" s="447"/>
      <c r="AO91" s="124"/>
      <c r="AP91" s="447"/>
      <c r="AQ91" s="447"/>
      <c r="AR91" s="124"/>
      <c r="AS91" s="411">
        <f t="shared" si="113"/>
        <v>0</v>
      </c>
      <c r="AT91" s="412">
        <f t="shared" si="114"/>
        <v>2969600</v>
      </c>
      <c r="AU91" s="124"/>
      <c r="AV91" s="409"/>
      <c r="AW91" s="413"/>
      <c r="AX91" s="409"/>
      <c r="AY91" s="124"/>
      <c r="AZ91" s="124"/>
      <c r="BA91" s="415"/>
      <c r="BB91" s="414">
        <v>100000</v>
      </c>
      <c r="BC91" s="409">
        <v>0</v>
      </c>
      <c r="BD91" s="413">
        <v>15000</v>
      </c>
      <c r="BE91" s="409">
        <f>68178+24509</f>
        <v>92687</v>
      </c>
      <c r="BF91" s="414"/>
      <c r="BG91" s="124"/>
      <c r="BH91" s="415">
        <f t="shared" si="116"/>
        <v>2761913</v>
      </c>
    </row>
    <row r="92" spans="1:60" s="416" customFormat="1" ht="15" x14ac:dyDescent="0.25">
      <c r="A92" s="453">
        <v>83</v>
      </c>
      <c r="B92" s="403">
        <v>89</v>
      </c>
      <c r="C92" s="124" t="s">
        <v>43</v>
      </c>
      <c r="D92" s="454" t="s">
        <v>246</v>
      </c>
      <c r="E92" s="124" t="s">
        <v>44</v>
      </c>
      <c r="F92" s="124"/>
      <c r="G92" s="124"/>
      <c r="H92" s="124"/>
      <c r="I92" s="455" t="s">
        <v>281</v>
      </c>
      <c r="J92" s="124" t="s">
        <v>293</v>
      </c>
      <c r="K92" s="409"/>
      <c r="L92" s="456"/>
      <c r="M92" s="447"/>
      <c r="N92" s="447"/>
      <c r="O92" s="447"/>
      <c r="P92" s="447"/>
      <c r="Q92" s="457"/>
      <c r="R92" s="447">
        <v>9100</v>
      </c>
      <c r="S92" s="447">
        <v>3</v>
      </c>
      <c r="T92" s="458">
        <f t="shared" ref="T92" si="128">R92*S92</f>
        <v>27300</v>
      </c>
      <c r="U92" s="409">
        <v>0</v>
      </c>
      <c r="V92" s="412">
        <f t="shared" si="102"/>
        <v>27300</v>
      </c>
      <c r="W92" s="447"/>
      <c r="X92" s="416">
        <v>0</v>
      </c>
      <c r="Y92" s="447">
        <v>12500</v>
      </c>
      <c r="Z92" s="447"/>
      <c r="AA92" s="124">
        <f t="shared" si="105"/>
        <v>0</v>
      </c>
      <c r="AB92" s="447"/>
      <c r="AC92" s="447"/>
      <c r="AD92" s="124">
        <f t="shared" si="106"/>
        <v>0</v>
      </c>
      <c r="AE92" s="449"/>
      <c r="AF92" s="412">
        <f t="shared" si="107"/>
        <v>0</v>
      </c>
      <c r="AG92" s="409">
        <f t="shared" si="108"/>
        <v>9100</v>
      </c>
      <c r="AH92" s="447"/>
      <c r="AI92" s="411">
        <f t="shared" si="109"/>
        <v>0</v>
      </c>
      <c r="AJ92" s="447">
        <v>15000</v>
      </c>
      <c r="AK92" s="447"/>
      <c r="AL92" s="124">
        <f t="shared" si="110"/>
        <v>0</v>
      </c>
      <c r="AM92" s="447"/>
      <c r="AN92" s="447"/>
      <c r="AO92" s="124">
        <f t="shared" si="111"/>
        <v>0</v>
      </c>
      <c r="AP92" s="447"/>
      <c r="AQ92" s="447"/>
      <c r="AR92" s="124">
        <f t="shared" si="112"/>
        <v>0</v>
      </c>
      <c r="AS92" s="411">
        <f t="shared" si="113"/>
        <v>0</v>
      </c>
      <c r="AT92" s="412">
        <f t="shared" si="114"/>
        <v>27300</v>
      </c>
      <c r="AU92" s="124"/>
      <c r="AV92" s="409"/>
      <c r="AW92" s="413">
        <v>15000</v>
      </c>
      <c r="AX92" s="409"/>
      <c r="AY92" s="414">
        <v>300000</v>
      </c>
      <c r="AZ92" s="124"/>
      <c r="BA92" s="415">
        <f t="shared" si="115"/>
        <v>-287700</v>
      </c>
      <c r="BB92" s="124"/>
      <c r="BC92" s="409"/>
      <c r="BD92" s="413">
        <v>15000</v>
      </c>
      <c r="BE92" s="409"/>
      <c r="BF92" s="124"/>
      <c r="BG92" s="124"/>
      <c r="BH92" s="415">
        <f t="shared" si="116"/>
        <v>12300</v>
      </c>
    </row>
    <row r="93" spans="1:60" s="463" customFormat="1" ht="15" customHeight="1" x14ac:dyDescent="0.2">
      <c r="A93" s="459"/>
      <c r="B93" s="403">
        <v>90</v>
      </c>
      <c r="C93" s="460" t="s">
        <v>214</v>
      </c>
      <c r="D93" s="446"/>
      <c r="E93" s="446"/>
      <c r="F93" s="446"/>
      <c r="G93" s="446"/>
      <c r="H93" s="446"/>
      <c r="I93" s="435"/>
      <c r="J93" s="446"/>
      <c r="K93" s="461"/>
      <c r="L93" s="462"/>
      <c r="M93" s="446"/>
      <c r="N93" s="446"/>
      <c r="O93" s="446"/>
      <c r="P93" s="446"/>
      <c r="Q93" s="446"/>
      <c r="R93" s="446">
        <v>13000</v>
      </c>
      <c r="S93" s="446">
        <v>0</v>
      </c>
      <c r="T93" s="446">
        <f>R93*S93</f>
        <v>0</v>
      </c>
      <c r="U93" s="409">
        <v>0</v>
      </c>
      <c r="V93" s="412">
        <f t="shared" si="102"/>
        <v>0</v>
      </c>
      <c r="W93" s="446"/>
      <c r="X93" s="446"/>
      <c r="Y93" s="446"/>
      <c r="Z93" s="446"/>
      <c r="AA93" s="124">
        <f t="shared" si="105"/>
        <v>0</v>
      </c>
      <c r="AB93" s="446"/>
      <c r="AC93" s="446"/>
      <c r="AD93" s="124">
        <f t="shared" si="106"/>
        <v>0</v>
      </c>
      <c r="AE93" s="446"/>
      <c r="AF93" s="412">
        <f t="shared" si="107"/>
        <v>0</v>
      </c>
      <c r="AG93" s="409">
        <f t="shared" si="108"/>
        <v>13000</v>
      </c>
      <c r="AH93" s="446"/>
      <c r="AI93" s="411">
        <f t="shared" si="109"/>
        <v>0</v>
      </c>
      <c r="AJ93" s="446"/>
      <c r="AK93" s="446"/>
      <c r="AL93" s="124">
        <f t="shared" si="110"/>
        <v>0</v>
      </c>
      <c r="AM93" s="446"/>
      <c r="AN93" s="446"/>
      <c r="AO93" s="124">
        <f t="shared" si="111"/>
        <v>0</v>
      </c>
      <c r="AP93" s="446"/>
      <c r="AQ93" s="446"/>
      <c r="AR93" s="124">
        <f t="shared" si="112"/>
        <v>0</v>
      </c>
      <c r="AS93" s="411">
        <f t="shared" si="113"/>
        <v>0</v>
      </c>
      <c r="AT93" s="412">
        <f t="shared" si="114"/>
        <v>0</v>
      </c>
      <c r="AU93" s="124"/>
      <c r="AV93" s="409"/>
      <c r="AW93" s="413"/>
      <c r="AX93" s="409"/>
      <c r="AY93" s="124"/>
      <c r="AZ93" s="124"/>
      <c r="BA93" s="415">
        <f t="shared" si="115"/>
        <v>0</v>
      </c>
      <c r="BB93" s="124"/>
      <c r="BC93" s="409"/>
      <c r="BD93" s="413"/>
      <c r="BE93" s="409"/>
      <c r="BF93" s="124"/>
      <c r="BG93" s="124"/>
      <c r="BH93" s="415">
        <f t="shared" si="116"/>
        <v>0</v>
      </c>
    </row>
    <row r="94" spans="1:60" s="463" customFormat="1" ht="14.25" customHeight="1" x14ac:dyDescent="0.2">
      <c r="A94" s="459"/>
      <c r="B94" s="403">
        <v>91</v>
      </c>
      <c r="C94" s="460" t="s">
        <v>215</v>
      </c>
      <c r="D94" s="446"/>
      <c r="E94" s="446"/>
      <c r="F94" s="446"/>
      <c r="G94" s="446"/>
      <c r="H94" s="446"/>
      <c r="I94" s="435"/>
      <c r="J94" s="446"/>
      <c r="K94" s="461"/>
      <c r="L94" s="462"/>
      <c r="M94" s="446"/>
      <c r="N94" s="446"/>
      <c r="O94" s="446"/>
      <c r="P94" s="446"/>
      <c r="Q94" s="446"/>
      <c r="R94" s="446">
        <v>9100</v>
      </c>
      <c r="S94" s="446">
        <v>0</v>
      </c>
      <c r="T94" s="446">
        <f>R94*S94</f>
        <v>0</v>
      </c>
      <c r="U94" s="409">
        <v>0</v>
      </c>
      <c r="V94" s="412">
        <f t="shared" si="102"/>
        <v>0</v>
      </c>
      <c r="W94" s="446"/>
      <c r="X94" s="446"/>
      <c r="Y94" s="446"/>
      <c r="Z94" s="446"/>
      <c r="AA94" s="124">
        <f t="shared" si="105"/>
        <v>0</v>
      </c>
      <c r="AB94" s="446"/>
      <c r="AC94" s="446"/>
      <c r="AD94" s="124">
        <f t="shared" si="106"/>
        <v>0</v>
      </c>
      <c r="AE94" s="446"/>
      <c r="AF94" s="412">
        <f t="shared" si="107"/>
        <v>0</v>
      </c>
      <c r="AG94" s="409">
        <f t="shared" si="108"/>
        <v>9100</v>
      </c>
      <c r="AH94" s="446"/>
      <c r="AI94" s="411">
        <f t="shared" si="109"/>
        <v>0</v>
      </c>
      <c r="AJ94" s="446"/>
      <c r="AK94" s="446"/>
      <c r="AL94" s="124">
        <f t="shared" si="110"/>
        <v>0</v>
      </c>
      <c r="AM94" s="446"/>
      <c r="AN94" s="446"/>
      <c r="AO94" s="124">
        <f t="shared" si="111"/>
        <v>0</v>
      </c>
      <c r="AP94" s="446"/>
      <c r="AQ94" s="446"/>
      <c r="AR94" s="124">
        <f t="shared" si="112"/>
        <v>0</v>
      </c>
      <c r="AS94" s="411">
        <f t="shared" si="113"/>
        <v>0</v>
      </c>
      <c r="AT94" s="412">
        <f t="shared" si="114"/>
        <v>0</v>
      </c>
      <c r="AU94" s="124"/>
      <c r="AV94" s="409"/>
      <c r="AW94" s="413"/>
      <c r="AX94" s="409"/>
      <c r="AY94" s="124"/>
      <c r="AZ94" s="124"/>
      <c r="BA94" s="415">
        <f t="shared" si="115"/>
        <v>0</v>
      </c>
      <c r="BB94" s="124"/>
      <c r="BC94" s="409"/>
      <c r="BD94" s="413"/>
      <c r="BE94" s="409"/>
      <c r="BF94" s="414"/>
      <c r="BG94" s="124"/>
      <c r="BH94" s="415">
        <f t="shared" si="116"/>
        <v>0</v>
      </c>
    </row>
    <row r="95" spans="1:60" s="416" customFormat="1" ht="15" x14ac:dyDescent="0.25">
      <c r="A95" s="402">
        <v>89</v>
      </c>
      <c r="B95" s="403">
        <v>92</v>
      </c>
      <c r="C95" s="426" t="s">
        <v>63</v>
      </c>
      <c r="D95" s="464" t="s">
        <v>247</v>
      </c>
      <c r="E95" s="124" t="s">
        <v>248</v>
      </c>
      <c r="F95" s="124"/>
      <c r="G95" s="124"/>
      <c r="H95" s="124"/>
      <c r="I95" s="439">
        <v>42933</v>
      </c>
      <c r="J95" s="124" t="s">
        <v>290</v>
      </c>
      <c r="K95" s="407">
        <f>SUM(1280000*100%)</f>
        <v>1280000</v>
      </c>
      <c r="L95" s="408">
        <v>100000</v>
      </c>
      <c r="M95" s="124">
        <v>50000</v>
      </c>
      <c r="N95" s="124">
        <f>K95*5/100</f>
        <v>64000</v>
      </c>
      <c r="O95" s="409">
        <f>K95*2/100</f>
        <v>25600</v>
      </c>
      <c r="P95" s="409">
        <f>6500*5</f>
        <v>32500</v>
      </c>
      <c r="Q95" s="407"/>
      <c r="R95" s="124">
        <v>9100</v>
      </c>
      <c r="S95" s="124">
        <v>22</v>
      </c>
      <c r="T95" s="411">
        <f t="shared" ref="T95:T101" si="129">R95*S95</f>
        <v>200200</v>
      </c>
      <c r="V95" s="412">
        <f t="shared" si="102"/>
        <v>1752300</v>
      </c>
      <c r="W95" s="124"/>
      <c r="X95" s="465"/>
      <c r="Y95" s="124"/>
      <c r="Z95" s="124"/>
      <c r="AA95" s="124">
        <f t="shared" si="105"/>
        <v>0</v>
      </c>
      <c r="AB95" s="124"/>
      <c r="AC95" s="124"/>
      <c r="AD95" s="124">
        <f t="shared" si="106"/>
        <v>0</v>
      </c>
      <c r="AE95" s="412"/>
      <c r="AF95" s="412">
        <f t="shared" si="107"/>
        <v>0</v>
      </c>
      <c r="AG95" s="409">
        <f t="shared" si="108"/>
        <v>9100</v>
      </c>
      <c r="AH95" s="124"/>
      <c r="AI95" s="411">
        <f t="shared" si="109"/>
        <v>0</v>
      </c>
      <c r="AJ95" s="410">
        <f>K95/22</f>
        <v>58181.818181818184</v>
      </c>
      <c r="AK95" s="124"/>
      <c r="AL95" s="124">
        <f t="shared" si="110"/>
        <v>0</v>
      </c>
      <c r="AM95" s="124"/>
      <c r="AN95" s="124"/>
      <c r="AO95" s="124">
        <f t="shared" si="111"/>
        <v>0</v>
      </c>
      <c r="AP95" s="124"/>
      <c r="AQ95" s="124"/>
      <c r="AR95" s="124">
        <f t="shared" si="112"/>
        <v>0</v>
      </c>
      <c r="AS95" s="411">
        <f t="shared" si="113"/>
        <v>0</v>
      </c>
      <c r="AT95" s="412">
        <f t="shared" si="114"/>
        <v>1752300</v>
      </c>
      <c r="AU95" s="124"/>
      <c r="AV95" s="409">
        <v>779000</v>
      </c>
      <c r="AW95" s="413">
        <v>15000</v>
      </c>
      <c r="AX95" s="409">
        <f>22726*2</f>
        <v>45452</v>
      </c>
      <c r="AY95" s="124"/>
      <c r="AZ95" s="124"/>
      <c r="BA95" s="415">
        <f t="shared" si="115"/>
        <v>912848</v>
      </c>
      <c r="BB95" s="124"/>
      <c r="BC95" s="409">
        <v>779000</v>
      </c>
      <c r="BD95" s="413">
        <v>15000</v>
      </c>
      <c r="BE95" s="409">
        <f>24509*2</f>
        <v>49018</v>
      </c>
      <c r="BF95" s="124"/>
      <c r="BG95" s="124"/>
      <c r="BH95" s="415">
        <f t="shared" si="116"/>
        <v>909282</v>
      </c>
    </row>
    <row r="96" spans="1:60" s="416" customFormat="1" ht="14.65" customHeight="1" x14ac:dyDescent="0.25">
      <c r="A96" s="402">
        <v>90</v>
      </c>
      <c r="B96" s="403">
        <v>93</v>
      </c>
      <c r="C96" s="426" t="s">
        <v>64</v>
      </c>
      <c r="D96" s="438" t="s">
        <v>249</v>
      </c>
      <c r="E96" s="124" t="s">
        <v>140</v>
      </c>
      <c r="F96" s="124"/>
      <c r="G96" s="124"/>
      <c r="H96" s="124"/>
      <c r="I96" s="439" t="s">
        <v>280</v>
      </c>
      <c r="J96" s="124" t="s">
        <v>291</v>
      </c>
      <c r="K96" s="407">
        <f>SUM(1280000*100%)</f>
        <v>1280000</v>
      </c>
      <c r="L96" s="408"/>
      <c r="M96" s="124">
        <v>50000</v>
      </c>
      <c r="N96" s="124"/>
      <c r="O96" s="124"/>
      <c r="P96" s="409">
        <f>6500*5</f>
        <v>32500</v>
      </c>
      <c r="Q96" s="466"/>
      <c r="R96" s="124">
        <v>7300</v>
      </c>
      <c r="S96" s="124">
        <v>26</v>
      </c>
      <c r="T96" s="411">
        <f t="shared" si="129"/>
        <v>189800</v>
      </c>
      <c r="U96" s="124"/>
      <c r="V96" s="412">
        <f t="shared" si="102"/>
        <v>1552300</v>
      </c>
      <c r="W96" s="124"/>
      <c r="X96" s="443"/>
      <c r="Y96" s="124"/>
      <c r="Z96" s="124"/>
      <c r="AA96" s="124">
        <f t="shared" si="105"/>
        <v>0</v>
      </c>
      <c r="AB96" s="124"/>
      <c r="AC96" s="124"/>
      <c r="AD96" s="124">
        <f t="shared" si="106"/>
        <v>0</v>
      </c>
      <c r="AE96" s="412"/>
      <c r="AF96" s="412">
        <f t="shared" si="107"/>
        <v>0</v>
      </c>
      <c r="AG96" s="409">
        <f t="shared" si="108"/>
        <v>7300</v>
      </c>
      <c r="AH96" s="124"/>
      <c r="AI96" s="411">
        <f t="shared" si="109"/>
        <v>0</v>
      </c>
      <c r="AJ96" s="410"/>
      <c r="AK96" s="124"/>
      <c r="AL96" s="124">
        <f t="shared" si="110"/>
        <v>0</v>
      </c>
      <c r="AM96" s="124"/>
      <c r="AN96" s="124"/>
      <c r="AO96" s="124">
        <f t="shared" si="111"/>
        <v>0</v>
      </c>
      <c r="AP96" s="124"/>
      <c r="AQ96" s="124"/>
      <c r="AR96" s="124">
        <f t="shared" si="112"/>
        <v>0</v>
      </c>
      <c r="AS96" s="411">
        <f t="shared" si="113"/>
        <v>0</v>
      </c>
      <c r="AT96" s="412">
        <f t="shared" si="114"/>
        <v>1552300</v>
      </c>
      <c r="AU96" s="124"/>
      <c r="AV96" s="409"/>
      <c r="AW96" s="413">
        <v>15000</v>
      </c>
      <c r="AX96" s="409"/>
      <c r="AY96" s="124"/>
      <c r="AZ96" s="124"/>
      <c r="BA96" s="415">
        <f t="shared" si="115"/>
        <v>1537300</v>
      </c>
      <c r="BB96" s="124"/>
      <c r="BC96" s="409"/>
      <c r="BD96" s="413">
        <v>15000</v>
      </c>
      <c r="BE96" s="409"/>
      <c r="BF96" s="124"/>
      <c r="BG96" s="124"/>
      <c r="BH96" s="415">
        <f t="shared" si="116"/>
        <v>1537300</v>
      </c>
    </row>
    <row r="97" spans="1:60" s="416" customFormat="1" ht="16.5" customHeight="1" x14ac:dyDescent="0.25">
      <c r="A97" s="402">
        <v>91</v>
      </c>
      <c r="B97" s="403">
        <v>94</v>
      </c>
      <c r="C97" s="433" t="s">
        <v>89</v>
      </c>
      <c r="D97" s="438" t="s">
        <v>250</v>
      </c>
      <c r="E97" s="124" t="s">
        <v>251</v>
      </c>
      <c r="F97" s="124"/>
      <c r="G97" s="124"/>
      <c r="H97" s="124"/>
      <c r="I97" s="467" t="s">
        <v>286</v>
      </c>
      <c r="J97" s="124" t="s">
        <v>293</v>
      </c>
      <c r="K97" s="407">
        <f>SUM(1730000*100%)</f>
        <v>1730000</v>
      </c>
      <c r="L97" s="408"/>
      <c r="M97" s="124">
        <v>50000</v>
      </c>
      <c r="N97" s="124">
        <f>K97*5/100</f>
        <v>86500</v>
      </c>
      <c r="O97" s="409">
        <f>K97*2/100</f>
        <v>34600</v>
      </c>
      <c r="P97" s="409">
        <f>6500*5</f>
        <v>32500</v>
      </c>
      <c r="Q97" s="407"/>
      <c r="R97" s="124">
        <v>5500</v>
      </c>
      <c r="S97" s="124">
        <v>22</v>
      </c>
      <c r="T97" s="411">
        <f t="shared" si="129"/>
        <v>121000</v>
      </c>
      <c r="U97" s="124"/>
      <c r="V97" s="412">
        <f t="shared" si="102"/>
        <v>2054600</v>
      </c>
      <c r="W97" s="124"/>
      <c r="X97" s="443"/>
      <c r="Y97" s="124"/>
      <c r="Z97" s="124"/>
      <c r="AA97" s="124">
        <f t="shared" si="105"/>
        <v>0</v>
      </c>
      <c r="AB97" s="124"/>
      <c r="AC97" s="124"/>
      <c r="AD97" s="124">
        <f t="shared" si="106"/>
        <v>0</v>
      </c>
      <c r="AE97" s="412"/>
      <c r="AF97" s="412">
        <f t="shared" si="107"/>
        <v>0</v>
      </c>
      <c r="AG97" s="409">
        <f t="shared" si="108"/>
        <v>5500</v>
      </c>
      <c r="AH97" s="124"/>
      <c r="AI97" s="411">
        <f t="shared" si="109"/>
        <v>0</v>
      </c>
      <c r="AJ97" s="410">
        <f>K97/22*1</f>
        <v>78636.363636363632</v>
      </c>
      <c r="AK97" s="124"/>
      <c r="AL97" s="124">
        <f t="shared" si="110"/>
        <v>0</v>
      </c>
      <c r="AM97" s="124"/>
      <c r="AN97" s="124"/>
      <c r="AO97" s="124">
        <f t="shared" si="111"/>
        <v>0</v>
      </c>
      <c r="AP97" s="124"/>
      <c r="AQ97" s="124"/>
      <c r="AR97" s="124">
        <f t="shared" si="112"/>
        <v>0</v>
      </c>
      <c r="AS97" s="411">
        <f t="shared" si="113"/>
        <v>0</v>
      </c>
      <c r="AT97" s="412">
        <f t="shared" si="114"/>
        <v>2054600</v>
      </c>
      <c r="AU97" s="124"/>
      <c r="AV97" s="409"/>
      <c r="AW97" s="413">
        <v>15000</v>
      </c>
      <c r="AX97" s="409"/>
      <c r="AY97" s="124"/>
      <c r="AZ97" s="124"/>
      <c r="BA97" s="415">
        <f t="shared" si="115"/>
        <v>2039600</v>
      </c>
      <c r="BB97" s="124"/>
      <c r="BC97" s="409"/>
      <c r="BD97" s="413">
        <v>15000</v>
      </c>
      <c r="BE97" s="409"/>
      <c r="BF97" s="124"/>
      <c r="BG97" s="124"/>
      <c r="BH97" s="415">
        <f t="shared" si="116"/>
        <v>2039600</v>
      </c>
    </row>
    <row r="98" spans="1:60" s="416" customFormat="1" ht="23.25" customHeight="1" x14ac:dyDescent="0.25">
      <c r="A98" s="402"/>
      <c r="B98" s="403">
        <v>95</v>
      </c>
      <c r="C98" s="433" t="s">
        <v>331</v>
      </c>
      <c r="D98" s="438"/>
      <c r="E98" s="124"/>
      <c r="F98" s="124"/>
      <c r="G98" s="124"/>
      <c r="H98" s="124"/>
      <c r="I98" s="467">
        <v>44805</v>
      </c>
      <c r="J98" s="124" t="s">
        <v>425</v>
      </c>
      <c r="K98" s="407">
        <f>SUM(1280000*100%)</f>
        <v>1280000</v>
      </c>
      <c r="L98" s="436">
        <v>200000</v>
      </c>
      <c r="M98" s="124"/>
      <c r="N98" s="124"/>
      <c r="O98" s="124"/>
      <c r="P98" s="409"/>
      <c r="Q98" s="407"/>
      <c r="R98" s="124">
        <v>7300</v>
      </c>
      <c r="S98" s="124">
        <v>22</v>
      </c>
      <c r="T98" s="411">
        <f t="shared" si="129"/>
        <v>160600</v>
      </c>
      <c r="U98" s="124"/>
      <c r="V98" s="412">
        <f t="shared" si="102"/>
        <v>1640600</v>
      </c>
      <c r="W98" s="124"/>
      <c r="X98" s="443"/>
      <c r="Y98" s="124"/>
      <c r="Z98" s="124"/>
      <c r="AA98" s="124">
        <f t="shared" si="105"/>
        <v>0</v>
      </c>
      <c r="AB98" s="124"/>
      <c r="AC98" s="124"/>
      <c r="AD98" s="124">
        <f t="shared" si="106"/>
        <v>0</v>
      </c>
      <c r="AE98" s="412"/>
      <c r="AF98" s="412">
        <f t="shared" si="107"/>
        <v>0</v>
      </c>
      <c r="AG98" s="409">
        <f t="shared" si="108"/>
        <v>7300</v>
      </c>
      <c r="AH98" s="124"/>
      <c r="AI98" s="411">
        <f t="shared" si="109"/>
        <v>0</v>
      </c>
      <c r="AJ98" s="410">
        <f>K98/22*1</f>
        <v>58181.818181818184</v>
      </c>
      <c r="AK98" s="124"/>
      <c r="AL98" s="124">
        <f t="shared" si="110"/>
        <v>0</v>
      </c>
      <c r="AM98" s="124"/>
      <c r="AN98" s="124"/>
      <c r="AO98" s="124">
        <f t="shared" si="111"/>
        <v>0</v>
      </c>
      <c r="AP98" s="124"/>
      <c r="AQ98" s="124"/>
      <c r="AR98" s="124">
        <f t="shared" si="112"/>
        <v>0</v>
      </c>
      <c r="AS98" s="411">
        <f t="shared" si="113"/>
        <v>0</v>
      </c>
      <c r="AT98" s="412">
        <f t="shared" si="114"/>
        <v>1640600</v>
      </c>
      <c r="AU98" s="124"/>
      <c r="AV98" s="409"/>
      <c r="AW98" s="413"/>
      <c r="AX98" s="409"/>
      <c r="AY98" s="124"/>
      <c r="AZ98" s="124"/>
      <c r="BA98" s="415">
        <f t="shared" si="115"/>
        <v>1640600</v>
      </c>
      <c r="BB98" s="124"/>
      <c r="BC98" s="409"/>
      <c r="BD98" s="413">
        <v>15000</v>
      </c>
      <c r="BE98" s="409"/>
      <c r="BF98" s="124"/>
      <c r="BG98" s="124"/>
      <c r="BH98" s="415">
        <f t="shared" si="116"/>
        <v>1625600</v>
      </c>
    </row>
    <row r="99" spans="1:60" s="416" customFormat="1" ht="23.25" customHeight="1" x14ac:dyDescent="0.25">
      <c r="A99" s="402"/>
      <c r="B99" s="403">
        <v>96</v>
      </c>
      <c r="C99" s="433" t="s">
        <v>428</v>
      </c>
      <c r="D99" s="438"/>
      <c r="E99" s="124"/>
      <c r="F99" s="124"/>
      <c r="G99" s="124"/>
      <c r="H99" s="124"/>
      <c r="I99" s="468" t="s">
        <v>483</v>
      </c>
      <c r="J99" s="124"/>
      <c r="K99" s="407">
        <f t="shared" ref="K99" si="130">SUM(1280000*80%)</f>
        <v>1024000</v>
      </c>
      <c r="L99" s="436"/>
      <c r="M99" s="124"/>
      <c r="N99" s="124"/>
      <c r="O99" s="124"/>
      <c r="P99" s="409"/>
      <c r="Q99" s="407"/>
      <c r="R99" s="124">
        <v>13000</v>
      </c>
      <c r="S99" s="124">
        <v>26</v>
      </c>
      <c r="T99" s="411">
        <f t="shared" si="129"/>
        <v>338000</v>
      </c>
      <c r="U99" s="124"/>
      <c r="V99" s="412">
        <f t="shared" si="102"/>
        <v>1362000</v>
      </c>
      <c r="W99" s="124"/>
      <c r="X99" s="443"/>
      <c r="Y99" s="124"/>
      <c r="Z99" s="124"/>
      <c r="AA99" s="124">
        <f t="shared" si="105"/>
        <v>0</v>
      </c>
      <c r="AB99" s="124"/>
      <c r="AC99" s="124"/>
      <c r="AD99" s="124">
        <f t="shared" si="106"/>
        <v>0</v>
      </c>
      <c r="AE99" s="412"/>
      <c r="AF99" s="412">
        <f t="shared" si="107"/>
        <v>0</v>
      </c>
      <c r="AG99" s="409">
        <f t="shared" si="108"/>
        <v>13000</v>
      </c>
      <c r="AH99" s="124"/>
      <c r="AI99" s="411">
        <f t="shared" si="109"/>
        <v>0</v>
      </c>
      <c r="AJ99" s="410"/>
      <c r="AK99" s="124"/>
      <c r="AL99" s="124">
        <f t="shared" si="110"/>
        <v>0</v>
      </c>
      <c r="AM99" s="124"/>
      <c r="AN99" s="124"/>
      <c r="AO99" s="124">
        <f t="shared" si="111"/>
        <v>0</v>
      </c>
      <c r="AP99" s="124"/>
      <c r="AQ99" s="124"/>
      <c r="AR99" s="124">
        <f t="shared" si="112"/>
        <v>0</v>
      </c>
      <c r="AS99" s="411">
        <f t="shared" si="113"/>
        <v>0</v>
      </c>
      <c r="AT99" s="412">
        <f t="shared" si="114"/>
        <v>1362000</v>
      </c>
      <c r="AU99" s="124"/>
      <c r="AV99" s="409"/>
      <c r="AW99" s="413"/>
      <c r="AX99" s="409"/>
      <c r="AY99" s="124"/>
      <c r="AZ99" s="124"/>
      <c r="BA99" s="415">
        <f t="shared" si="115"/>
        <v>1362000</v>
      </c>
      <c r="BB99" s="124"/>
      <c r="BC99" s="409"/>
      <c r="BD99" s="413">
        <v>15000</v>
      </c>
      <c r="BE99" s="409"/>
      <c r="BF99" s="124"/>
      <c r="BG99" s="124"/>
      <c r="BH99" s="415">
        <f t="shared" si="116"/>
        <v>1347000</v>
      </c>
    </row>
    <row r="100" spans="1:60" s="416" customFormat="1" ht="23.25" customHeight="1" x14ac:dyDescent="0.25">
      <c r="A100" s="402"/>
      <c r="B100" s="403">
        <v>97</v>
      </c>
      <c r="C100" s="433" t="s">
        <v>429</v>
      </c>
      <c r="D100" s="438"/>
      <c r="E100" s="124"/>
      <c r="F100" s="124"/>
      <c r="G100" s="124"/>
      <c r="H100" s="124"/>
      <c r="I100" s="468" t="s">
        <v>483</v>
      </c>
      <c r="J100" s="124"/>
      <c r="K100" s="407">
        <f>SUM(1260000*80%)</f>
        <v>1008000</v>
      </c>
      <c r="L100" s="436"/>
      <c r="M100" s="124"/>
      <c r="N100" s="124"/>
      <c r="O100" s="124"/>
      <c r="P100" s="409"/>
      <c r="Q100" s="407"/>
      <c r="R100" s="124">
        <v>9100</v>
      </c>
      <c r="S100" s="124">
        <v>26</v>
      </c>
      <c r="T100" s="411">
        <f t="shared" si="129"/>
        <v>236600</v>
      </c>
      <c r="U100" s="124"/>
      <c r="V100" s="412">
        <f t="shared" si="102"/>
        <v>1244600</v>
      </c>
      <c r="W100" s="124"/>
      <c r="X100" s="443"/>
      <c r="Y100" s="124"/>
      <c r="Z100" s="124"/>
      <c r="AA100" s="124">
        <f t="shared" si="105"/>
        <v>0</v>
      </c>
      <c r="AB100" s="124"/>
      <c r="AC100" s="124"/>
      <c r="AD100" s="124">
        <f t="shared" si="106"/>
        <v>0</v>
      </c>
      <c r="AE100" s="412"/>
      <c r="AF100" s="412">
        <f t="shared" si="107"/>
        <v>0</v>
      </c>
      <c r="AG100" s="409">
        <f t="shared" si="108"/>
        <v>9100</v>
      </c>
      <c r="AH100" s="124"/>
      <c r="AI100" s="411">
        <f t="shared" si="109"/>
        <v>0</v>
      </c>
      <c r="AJ100" s="410">
        <f>K100/22</f>
        <v>45818.181818181816</v>
      </c>
      <c r="AK100" s="124"/>
      <c r="AL100" s="124">
        <f t="shared" si="110"/>
        <v>0</v>
      </c>
      <c r="AM100" s="124"/>
      <c r="AN100" s="124"/>
      <c r="AO100" s="124">
        <f t="shared" si="111"/>
        <v>0</v>
      </c>
      <c r="AP100" s="124"/>
      <c r="AQ100" s="124"/>
      <c r="AR100" s="124">
        <f t="shared" si="112"/>
        <v>0</v>
      </c>
      <c r="AS100" s="411">
        <f t="shared" si="113"/>
        <v>0</v>
      </c>
      <c r="AT100" s="412">
        <f t="shared" si="114"/>
        <v>1244600</v>
      </c>
      <c r="AU100" s="124"/>
      <c r="AV100" s="409"/>
      <c r="AW100" s="413"/>
      <c r="AX100" s="409"/>
      <c r="AY100" s="124"/>
      <c r="AZ100" s="124"/>
      <c r="BA100" s="415">
        <f t="shared" si="115"/>
        <v>1244600</v>
      </c>
      <c r="BB100" s="124"/>
      <c r="BC100" s="409"/>
      <c r="BD100" s="413">
        <v>15000</v>
      </c>
      <c r="BE100" s="409"/>
      <c r="BF100" s="124"/>
      <c r="BG100" s="124"/>
      <c r="BH100" s="415">
        <f t="shared" si="116"/>
        <v>1229600</v>
      </c>
    </row>
    <row r="101" spans="1:60" s="484" customFormat="1" ht="15" x14ac:dyDescent="0.25">
      <c r="A101" s="469">
        <v>103</v>
      </c>
      <c r="B101" s="470">
        <v>98</v>
      </c>
      <c r="C101" s="471" t="s">
        <v>93</v>
      </c>
      <c r="D101" s="472">
        <f>[1]BPD!$C$78</f>
        <v>2015144320</v>
      </c>
      <c r="E101" s="471"/>
      <c r="F101" s="471"/>
      <c r="G101" s="471"/>
      <c r="H101" s="471"/>
      <c r="I101" s="473" t="s">
        <v>485</v>
      </c>
      <c r="J101" s="471"/>
      <c r="K101" s="474">
        <f>SUM(1730000*100%)</f>
        <v>1730000</v>
      </c>
      <c r="L101" s="475">
        <v>500000</v>
      </c>
      <c r="M101" s="476">
        <v>50000</v>
      </c>
      <c r="N101" s="476">
        <f>N6</f>
        <v>86500</v>
      </c>
      <c r="O101" s="476">
        <f>O13</f>
        <v>69200</v>
      </c>
      <c r="P101" s="474">
        <f>P13</f>
        <v>32500</v>
      </c>
      <c r="Q101" s="477"/>
      <c r="R101" s="471">
        <v>3700</v>
      </c>
      <c r="S101" s="471"/>
      <c r="T101" s="478">
        <f t="shared" si="129"/>
        <v>0</v>
      </c>
      <c r="U101" s="477"/>
      <c r="V101" s="479">
        <f t="shared" si="102"/>
        <v>2468200</v>
      </c>
      <c r="W101" s="471"/>
      <c r="X101" s="480"/>
      <c r="Y101" s="471"/>
      <c r="Z101" s="471"/>
      <c r="AA101" s="471">
        <f t="shared" si="105"/>
        <v>0</v>
      </c>
      <c r="AB101" s="471"/>
      <c r="AC101" s="471"/>
      <c r="AD101" s="471">
        <f t="shared" si="106"/>
        <v>0</v>
      </c>
      <c r="AE101" s="479"/>
      <c r="AF101" s="479">
        <f t="shared" si="107"/>
        <v>0</v>
      </c>
      <c r="AG101" s="481">
        <f t="shared" si="108"/>
        <v>3700</v>
      </c>
      <c r="AH101" s="471"/>
      <c r="AI101" s="478">
        <f t="shared" si="109"/>
        <v>0</v>
      </c>
      <c r="AJ101" s="471"/>
      <c r="AK101" s="471"/>
      <c r="AL101" s="471">
        <f t="shared" si="110"/>
        <v>0</v>
      </c>
      <c r="AM101" s="471"/>
      <c r="AN101" s="471"/>
      <c r="AO101" s="471">
        <f t="shared" si="111"/>
        <v>0</v>
      </c>
      <c r="AP101" s="471"/>
      <c r="AQ101" s="471"/>
      <c r="AR101" s="471">
        <f t="shared" si="112"/>
        <v>0</v>
      </c>
      <c r="AS101" s="478">
        <f t="shared" si="113"/>
        <v>0</v>
      </c>
      <c r="AT101" s="479">
        <f t="shared" si="114"/>
        <v>2468200</v>
      </c>
      <c r="AU101" s="471"/>
      <c r="AV101" s="481"/>
      <c r="AW101" s="482">
        <v>15000</v>
      </c>
      <c r="AX101" s="481">
        <v>22726</v>
      </c>
      <c r="AY101" s="471"/>
      <c r="AZ101" s="471"/>
      <c r="BA101" s="483">
        <f t="shared" si="115"/>
        <v>2430474</v>
      </c>
      <c r="BB101" s="471"/>
      <c r="BC101" s="481"/>
      <c r="BD101" s="482">
        <v>15000</v>
      </c>
      <c r="BE101" s="481">
        <v>24509</v>
      </c>
      <c r="BF101" s="471"/>
      <c r="BG101" s="471"/>
      <c r="BH101" s="483">
        <f t="shared" si="116"/>
        <v>2428691</v>
      </c>
    </row>
    <row r="102" spans="1:60" s="484" customFormat="1" ht="19.5" customHeight="1" x14ac:dyDescent="0.25">
      <c r="A102" s="469">
        <v>95</v>
      </c>
      <c r="B102" s="470">
        <v>99</v>
      </c>
      <c r="C102" s="471" t="s">
        <v>91</v>
      </c>
      <c r="D102" s="485" t="s">
        <v>252</v>
      </c>
      <c r="E102" s="471"/>
      <c r="F102" s="471"/>
      <c r="G102" s="471"/>
      <c r="H102" s="471"/>
      <c r="I102" s="486" t="s">
        <v>285</v>
      </c>
      <c r="J102" s="471" t="s">
        <v>292</v>
      </c>
      <c r="K102" s="474">
        <f>SUM(1830000*100%)</f>
        <v>1830000</v>
      </c>
      <c r="L102" s="487">
        <v>400000</v>
      </c>
      <c r="M102" s="476">
        <v>50000</v>
      </c>
      <c r="N102" s="476"/>
      <c r="O102" s="476"/>
      <c r="P102" s="474"/>
      <c r="Q102" s="471"/>
      <c r="R102" s="481">
        <v>3700</v>
      </c>
      <c r="S102" s="471">
        <v>22</v>
      </c>
      <c r="T102" s="478">
        <f>R102*S102</f>
        <v>81400</v>
      </c>
      <c r="U102" s="471"/>
      <c r="V102" s="479">
        <f t="shared" si="102"/>
        <v>2361400</v>
      </c>
      <c r="W102" s="471"/>
      <c r="X102" s="480"/>
      <c r="Y102" s="471"/>
      <c r="Z102" s="471"/>
      <c r="AA102" s="471">
        <f t="shared" si="105"/>
        <v>0</v>
      </c>
      <c r="AB102" s="471">
        <v>8500</v>
      </c>
      <c r="AC102" s="471"/>
      <c r="AD102" s="471">
        <f t="shared" si="106"/>
        <v>0</v>
      </c>
      <c r="AE102" s="479"/>
      <c r="AF102" s="479">
        <f t="shared" si="107"/>
        <v>0</v>
      </c>
      <c r="AG102" s="481">
        <f t="shared" si="108"/>
        <v>3700</v>
      </c>
      <c r="AH102" s="471"/>
      <c r="AI102" s="478">
        <f t="shared" si="109"/>
        <v>0</v>
      </c>
      <c r="AJ102" s="479">
        <f t="shared" ref="AJ102:AJ112" si="131">K102/28</f>
        <v>65357.142857142855</v>
      </c>
      <c r="AK102" s="471"/>
      <c r="AL102" s="471">
        <f t="shared" si="110"/>
        <v>0</v>
      </c>
      <c r="AM102" s="471"/>
      <c r="AN102" s="471"/>
      <c r="AO102" s="471">
        <f t="shared" si="111"/>
        <v>0</v>
      </c>
      <c r="AP102" s="471"/>
      <c r="AQ102" s="471"/>
      <c r="AR102" s="471">
        <f t="shared" si="112"/>
        <v>0</v>
      </c>
      <c r="AS102" s="478">
        <f t="shared" si="113"/>
        <v>0</v>
      </c>
      <c r="AT102" s="479">
        <f t="shared" si="114"/>
        <v>2361400</v>
      </c>
      <c r="AU102" s="471"/>
      <c r="AV102" s="481"/>
      <c r="AW102" s="482">
        <v>15000</v>
      </c>
      <c r="AX102" s="481"/>
      <c r="AY102" s="476">
        <v>300000</v>
      </c>
      <c r="AZ102" s="471">
        <v>220000</v>
      </c>
      <c r="BA102" s="483">
        <f t="shared" si="115"/>
        <v>1826400</v>
      </c>
      <c r="BB102" s="471"/>
      <c r="BC102" s="481"/>
      <c r="BD102" s="482">
        <v>15000</v>
      </c>
      <c r="BE102" s="481">
        <v>68178</v>
      </c>
      <c r="BF102" s="476">
        <v>400000</v>
      </c>
      <c r="BG102" s="471">
        <v>220000</v>
      </c>
      <c r="BH102" s="483">
        <f t="shared" si="116"/>
        <v>1658222</v>
      </c>
    </row>
    <row r="103" spans="1:60" s="484" customFormat="1" ht="19.5" customHeight="1" x14ac:dyDescent="0.25">
      <c r="A103" s="469">
        <v>94</v>
      </c>
      <c r="B103" s="470">
        <v>100</v>
      </c>
      <c r="C103" s="471" t="s">
        <v>90</v>
      </c>
      <c r="D103" s="485" t="s">
        <v>253</v>
      </c>
      <c r="E103" s="471"/>
      <c r="F103" s="471"/>
      <c r="G103" s="471"/>
      <c r="H103" s="471"/>
      <c r="I103" s="486" t="s">
        <v>285</v>
      </c>
      <c r="J103" s="471" t="s">
        <v>292</v>
      </c>
      <c r="K103" s="474">
        <f>SUM(1830000*100%)</f>
        <v>1830000</v>
      </c>
      <c r="L103" s="487">
        <v>300000</v>
      </c>
      <c r="M103" s="476">
        <v>50000</v>
      </c>
      <c r="N103" s="488">
        <f t="shared" ref="N103" si="132">K103*5/100</f>
        <v>91500</v>
      </c>
      <c r="O103" s="488">
        <f>K103*2/100*2</f>
        <v>73200</v>
      </c>
      <c r="P103" s="474">
        <f>P15</f>
        <v>32500</v>
      </c>
      <c r="Q103" s="471"/>
      <c r="R103" s="481">
        <v>13000</v>
      </c>
      <c r="S103" s="471">
        <v>22</v>
      </c>
      <c r="T103" s="478">
        <f t="shared" ref="T103:T104" si="133">R103*S103</f>
        <v>286000</v>
      </c>
      <c r="U103" s="471"/>
      <c r="V103" s="479">
        <f>K103+L103+M103+N103+O103+P103+Q103+T103+U103</f>
        <v>2663200</v>
      </c>
      <c r="W103" s="471"/>
      <c r="X103" s="480"/>
      <c r="Y103" s="471"/>
      <c r="Z103" s="471"/>
      <c r="AA103" s="471">
        <f t="shared" si="105"/>
        <v>0</v>
      </c>
      <c r="AB103" s="471">
        <v>8500</v>
      </c>
      <c r="AC103" s="471"/>
      <c r="AD103" s="471">
        <f t="shared" si="106"/>
        <v>0</v>
      </c>
      <c r="AE103" s="479"/>
      <c r="AF103" s="479">
        <f t="shared" si="107"/>
        <v>0</v>
      </c>
      <c r="AG103" s="481">
        <f t="shared" si="108"/>
        <v>13000</v>
      </c>
      <c r="AH103" s="471"/>
      <c r="AI103" s="478">
        <f t="shared" si="109"/>
        <v>0</v>
      </c>
      <c r="AJ103" s="479">
        <f t="shared" si="131"/>
        <v>65357.142857142855</v>
      </c>
      <c r="AK103" s="471"/>
      <c r="AL103" s="471">
        <f t="shared" si="110"/>
        <v>0</v>
      </c>
      <c r="AM103" s="471"/>
      <c r="AN103" s="471"/>
      <c r="AO103" s="471">
        <f t="shared" si="111"/>
        <v>0</v>
      </c>
      <c r="AP103" s="471"/>
      <c r="AQ103" s="471"/>
      <c r="AR103" s="471">
        <f t="shared" si="112"/>
        <v>0</v>
      </c>
      <c r="AS103" s="478">
        <f t="shared" si="113"/>
        <v>0</v>
      </c>
      <c r="AT103" s="479">
        <f t="shared" si="114"/>
        <v>2663200</v>
      </c>
      <c r="AU103" s="471"/>
      <c r="AV103" s="481">
        <v>805000</v>
      </c>
      <c r="AW103" s="482">
        <v>15000</v>
      </c>
      <c r="AX103" s="481"/>
      <c r="AY103" s="481">
        <v>600000</v>
      </c>
      <c r="AZ103" s="471"/>
      <c r="BA103" s="483">
        <f t="shared" si="115"/>
        <v>1243200</v>
      </c>
      <c r="BB103" s="471"/>
      <c r="BC103" s="481">
        <v>790500</v>
      </c>
      <c r="BD103" s="482">
        <v>15000</v>
      </c>
      <c r="BE103" s="481">
        <v>68178</v>
      </c>
      <c r="BF103" s="481"/>
      <c r="BG103" s="471"/>
      <c r="BH103" s="483">
        <f t="shared" si="116"/>
        <v>1789522</v>
      </c>
    </row>
    <row r="104" spans="1:60" s="484" customFormat="1" ht="18.75" customHeight="1" x14ac:dyDescent="0.25">
      <c r="A104" s="469">
        <v>100</v>
      </c>
      <c r="B104" s="470">
        <v>101</v>
      </c>
      <c r="C104" s="471" t="s">
        <v>86</v>
      </c>
      <c r="D104" s="489" t="s">
        <v>254</v>
      </c>
      <c r="E104" s="471"/>
      <c r="F104" s="471"/>
      <c r="G104" s="471"/>
      <c r="H104" s="471"/>
      <c r="I104" s="486" t="s">
        <v>285</v>
      </c>
      <c r="J104" s="471" t="s">
        <v>292</v>
      </c>
      <c r="K104" s="474">
        <f t="shared" ref="K104:K108" si="134">SUM(1730000*100%)</f>
        <v>1730000</v>
      </c>
      <c r="L104" s="487">
        <v>200000</v>
      </c>
      <c r="M104" s="476">
        <v>50000</v>
      </c>
      <c r="N104" s="476"/>
      <c r="O104" s="476"/>
      <c r="P104" s="474">
        <f>P103</f>
        <v>32500</v>
      </c>
      <c r="Q104" s="471"/>
      <c r="R104" s="481">
        <v>3700</v>
      </c>
      <c r="S104" s="471">
        <v>22</v>
      </c>
      <c r="T104" s="478">
        <f t="shared" si="133"/>
        <v>81400</v>
      </c>
      <c r="U104" s="471"/>
      <c r="V104" s="479">
        <f t="shared" si="102"/>
        <v>2093900</v>
      </c>
      <c r="W104" s="471"/>
      <c r="X104" s="480"/>
      <c r="Y104" s="471"/>
      <c r="Z104" s="471"/>
      <c r="AA104" s="471">
        <f t="shared" si="105"/>
        <v>0</v>
      </c>
      <c r="AB104" s="471">
        <v>8500</v>
      </c>
      <c r="AC104" s="471"/>
      <c r="AD104" s="471">
        <f t="shared" si="106"/>
        <v>0</v>
      </c>
      <c r="AE104" s="479"/>
      <c r="AF104" s="479">
        <f t="shared" si="107"/>
        <v>0</v>
      </c>
      <c r="AG104" s="481">
        <f t="shared" si="108"/>
        <v>3700</v>
      </c>
      <c r="AH104" s="471"/>
      <c r="AI104" s="478">
        <f t="shared" si="109"/>
        <v>0</v>
      </c>
      <c r="AJ104" s="479">
        <f t="shared" si="131"/>
        <v>61785.714285714283</v>
      </c>
      <c r="AK104" s="471"/>
      <c r="AL104" s="471">
        <f t="shared" si="110"/>
        <v>0</v>
      </c>
      <c r="AM104" s="479"/>
      <c r="AN104" s="471"/>
      <c r="AO104" s="471">
        <f t="shared" si="111"/>
        <v>0</v>
      </c>
      <c r="AP104" s="471"/>
      <c r="AQ104" s="471"/>
      <c r="AR104" s="471">
        <f t="shared" si="112"/>
        <v>0</v>
      </c>
      <c r="AS104" s="478">
        <f t="shared" si="113"/>
        <v>0</v>
      </c>
      <c r="AT104" s="479">
        <f t="shared" si="114"/>
        <v>2093900</v>
      </c>
      <c r="AU104" s="471"/>
      <c r="AV104" s="481"/>
      <c r="AW104" s="482">
        <v>15000</v>
      </c>
      <c r="AX104" s="481"/>
      <c r="AY104" s="481"/>
      <c r="AZ104" s="471"/>
      <c r="BA104" s="483">
        <f t="shared" si="115"/>
        <v>2078900</v>
      </c>
      <c r="BB104" s="471"/>
      <c r="BC104" s="481"/>
      <c r="BD104" s="482">
        <v>15000</v>
      </c>
      <c r="BE104" s="481"/>
      <c r="BF104" s="481">
        <v>200000</v>
      </c>
      <c r="BG104" s="471"/>
      <c r="BH104" s="483">
        <f t="shared" si="116"/>
        <v>1878900</v>
      </c>
    </row>
    <row r="105" spans="1:60" s="484" customFormat="1" ht="17.25" customHeight="1" x14ac:dyDescent="0.25">
      <c r="A105" s="469"/>
      <c r="B105" s="470">
        <v>102</v>
      </c>
      <c r="C105" s="471" t="s">
        <v>143</v>
      </c>
      <c r="D105" s="489" t="s">
        <v>257</v>
      </c>
      <c r="E105" s="471"/>
      <c r="F105" s="471"/>
      <c r="G105" s="471"/>
      <c r="H105" s="471"/>
      <c r="I105" s="490" t="s">
        <v>287</v>
      </c>
      <c r="J105" s="471" t="s">
        <v>294</v>
      </c>
      <c r="K105" s="474">
        <f t="shared" si="134"/>
        <v>1730000</v>
      </c>
      <c r="L105" s="475">
        <v>100000</v>
      </c>
      <c r="M105" s="471"/>
      <c r="N105" s="471"/>
      <c r="O105" s="471"/>
      <c r="P105" s="474"/>
      <c r="Q105" s="471"/>
      <c r="R105" s="481">
        <v>13000</v>
      </c>
      <c r="S105" s="471">
        <v>22</v>
      </c>
      <c r="T105" s="478">
        <f t="shared" ref="T105" si="135">R105*S105</f>
        <v>286000</v>
      </c>
      <c r="U105" s="471"/>
      <c r="V105" s="479">
        <f t="shared" si="102"/>
        <v>2116000</v>
      </c>
      <c r="W105" s="471"/>
      <c r="X105" s="491"/>
      <c r="Y105" s="471"/>
      <c r="Z105" s="471"/>
      <c r="AA105" s="471">
        <f t="shared" si="105"/>
        <v>0</v>
      </c>
      <c r="AB105" s="471">
        <v>8500</v>
      </c>
      <c r="AC105" s="471"/>
      <c r="AD105" s="471">
        <f t="shared" si="106"/>
        <v>0</v>
      </c>
      <c r="AE105" s="479"/>
      <c r="AF105" s="479">
        <f t="shared" si="107"/>
        <v>0</v>
      </c>
      <c r="AG105" s="481">
        <f t="shared" si="108"/>
        <v>13000</v>
      </c>
      <c r="AH105" s="471"/>
      <c r="AI105" s="478">
        <f t="shared" si="109"/>
        <v>0</v>
      </c>
      <c r="AJ105" s="479">
        <f t="shared" si="131"/>
        <v>61785.714285714283</v>
      </c>
      <c r="AK105" s="471"/>
      <c r="AL105" s="471">
        <f t="shared" si="110"/>
        <v>0</v>
      </c>
      <c r="AM105" s="471"/>
      <c r="AN105" s="471"/>
      <c r="AO105" s="471">
        <f t="shared" si="111"/>
        <v>0</v>
      </c>
      <c r="AP105" s="471"/>
      <c r="AQ105" s="471"/>
      <c r="AR105" s="471">
        <f t="shared" si="112"/>
        <v>0</v>
      </c>
      <c r="AS105" s="478">
        <f t="shared" si="113"/>
        <v>0</v>
      </c>
      <c r="AT105" s="479">
        <f t="shared" si="114"/>
        <v>2116000</v>
      </c>
      <c r="AU105" s="471"/>
      <c r="AV105" s="481"/>
      <c r="AW105" s="482">
        <v>15000</v>
      </c>
      <c r="AX105" s="481"/>
      <c r="AY105" s="471"/>
      <c r="AZ105" s="471"/>
      <c r="BA105" s="483">
        <f t="shared" si="115"/>
        <v>2101000</v>
      </c>
      <c r="BB105" s="471"/>
      <c r="BC105" s="481"/>
      <c r="BD105" s="482">
        <v>15000</v>
      </c>
      <c r="BE105" s="481"/>
      <c r="BF105" s="471"/>
      <c r="BG105" s="471"/>
      <c r="BH105" s="483">
        <f t="shared" si="116"/>
        <v>2101000</v>
      </c>
    </row>
    <row r="106" spans="1:60" s="484" customFormat="1" ht="15" customHeight="1" x14ac:dyDescent="0.25">
      <c r="A106" s="469">
        <v>98</v>
      </c>
      <c r="B106" s="470">
        <v>103</v>
      </c>
      <c r="C106" s="471" t="s">
        <v>92</v>
      </c>
      <c r="D106" s="489" t="s">
        <v>255</v>
      </c>
      <c r="E106" s="471"/>
      <c r="F106" s="471"/>
      <c r="G106" s="471"/>
      <c r="H106" s="471"/>
      <c r="I106" s="490" t="s">
        <v>286</v>
      </c>
      <c r="J106" s="471" t="s">
        <v>293</v>
      </c>
      <c r="K106" s="474">
        <f t="shared" si="134"/>
        <v>1730000</v>
      </c>
      <c r="L106" s="475">
        <v>100000</v>
      </c>
      <c r="M106" s="471">
        <v>50000</v>
      </c>
      <c r="N106" s="488">
        <f t="shared" ref="N106" si="136">K106*5/100</f>
        <v>86500</v>
      </c>
      <c r="O106" s="488">
        <f>K106*2/100*2</f>
        <v>69200</v>
      </c>
      <c r="P106" s="481">
        <f t="shared" ref="P106:P107" si="137">6500*5</f>
        <v>32500</v>
      </c>
      <c r="Q106" s="471"/>
      <c r="R106" s="481">
        <v>13000</v>
      </c>
      <c r="S106" s="471">
        <v>22</v>
      </c>
      <c r="T106" s="478">
        <f>R106*S106</f>
        <v>286000</v>
      </c>
      <c r="U106" s="471"/>
      <c r="V106" s="479">
        <f t="shared" si="102"/>
        <v>2354200</v>
      </c>
      <c r="W106" s="471"/>
      <c r="X106" s="491"/>
      <c r="Y106" s="471"/>
      <c r="Z106" s="471"/>
      <c r="AA106" s="471">
        <f t="shared" si="105"/>
        <v>0</v>
      </c>
      <c r="AB106" s="471">
        <v>8500</v>
      </c>
      <c r="AC106" s="471"/>
      <c r="AD106" s="471">
        <f t="shared" si="106"/>
        <v>0</v>
      </c>
      <c r="AE106" s="479"/>
      <c r="AF106" s="479">
        <f t="shared" si="107"/>
        <v>0</v>
      </c>
      <c r="AG106" s="481">
        <f t="shared" si="108"/>
        <v>13000</v>
      </c>
      <c r="AH106" s="471"/>
      <c r="AI106" s="478">
        <f t="shared" si="109"/>
        <v>0</v>
      </c>
      <c r="AJ106" s="479">
        <f t="shared" si="131"/>
        <v>61785.714285714283</v>
      </c>
      <c r="AK106" s="471"/>
      <c r="AL106" s="471">
        <f t="shared" si="110"/>
        <v>0</v>
      </c>
      <c r="AM106" s="471"/>
      <c r="AN106" s="471"/>
      <c r="AO106" s="471">
        <f t="shared" si="111"/>
        <v>0</v>
      </c>
      <c r="AP106" s="471"/>
      <c r="AQ106" s="471"/>
      <c r="AR106" s="471">
        <f t="shared" si="112"/>
        <v>0</v>
      </c>
      <c r="AS106" s="478">
        <f t="shared" si="113"/>
        <v>0</v>
      </c>
      <c r="AT106" s="479">
        <f t="shared" si="114"/>
        <v>2354200</v>
      </c>
      <c r="AU106" s="471"/>
      <c r="AV106" s="481"/>
      <c r="AW106" s="482">
        <v>15000</v>
      </c>
      <c r="AX106" s="481"/>
      <c r="AY106" s="471"/>
      <c r="AZ106" s="471"/>
      <c r="BA106" s="483">
        <f t="shared" si="115"/>
        <v>2339200</v>
      </c>
      <c r="BB106" s="471"/>
      <c r="BC106" s="481"/>
      <c r="BD106" s="482">
        <v>15000</v>
      </c>
      <c r="BE106" s="481"/>
      <c r="BF106" s="471"/>
      <c r="BG106" s="471"/>
      <c r="BH106" s="483">
        <f t="shared" si="116"/>
        <v>2339200</v>
      </c>
    </row>
    <row r="107" spans="1:60" s="484" customFormat="1" ht="14.25" customHeight="1" x14ac:dyDescent="0.25">
      <c r="A107" s="469">
        <v>102</v>
      </c>
      <c r="B107" s="470">
        <v>104</v>
      </c>
      <c r="C107" s="492" t="s">
        <v>128</v>
      </c>
      <c r="D107" s="489" t="s">
        <v>256</v>
      </c>
      <c r="E107" s="471"/>
      <c r="F107" s="471"/>
      <c r="G107" s="471"/>
      <c r="H107" s="471"/>
      <c r="I107" s="490" t="s">
        <v>286</v>
      </c>
      <c r="J107" s="471" t="s">
        <v>293</v>
      </c>
      <c r="K107" s="474">
        <f t="shared" si="134"/>
        <v>1730000</v>
      </c>
      <c r="L107" s="475">
        <v>100000</v>
      </c>
      <c r="M107" s="471">
        <v>50000</v>
      </c>
      <c r="N107" s="471"/>
      <c r="O107" s="471"/>
      <c r="P107" s="481">
        <f t="shared" si="137"/>
        <v>32500</v>
      </c>
      <c r="Q107" s="471"/>
      <c r="R107" s="481">
        <v>11000</v>
      </c>
      <c r="S107" s="471">
        <v>22</v>
      </c>
      <c r="T107" s="478">
        <f>R107*S107</f>
        <v>242000</v>
      </c>
      <c r="U107" s="471"/>
      <c r="V107" s="479">
        <f t="shared" si="102"/>
        <v>2154500</v>
      </c>
      <c r="W107" s="471"/>
      <c r="X107" s="481"/>
      <c r="Y107" s="471"/>
      <c r="Z107" s="471"/>
      <c r="AA107" s="471">
        <f t="shared" si="105"/>
        <v>0</v>
      </c>
      <c r="AB107" s="471">
        <v>8500</v>
      </c>
      <c r="AC107" s="471"/>
      <c r="AD107" s="471">
        <f t="shared" si="106"/>
        <v>0</v>
      </c>
      <c r="AE107" s="479"/>
      <c r="AF107" s="479">
        <f t="shared" si="107"/>
        <v>0</v>
      </c>
      <c r="AG107" s="481">
        <f t="shared" si="108"/>
        <v>11000</v>
      </c>
      <c r="AH107" s="471"/>
      <c r="AI107" s="478">
        <f t="shared" si="109"/>
        <v>0</v>
      </c>
      <c r="AJ107" s="479">
        <f t="shared" si="131"/>
        <v>61785.714285714283</v>
      </c>
      <c r="AK107" s="471"/>
      <c r="AL107" s="471">
        <f t="shared" si="110"/>
        <v>0</v>
      </c>
      <c r="AM107" s="471"/>
      <c r="AN107" s="471"/>
      <c r="AO107" s="471">
        <f t="shared" si="111"/>
        <v>0</v>
      </c>
      <c r="AP107" s="471"/>
      <c r="AQ107" s="471"/>
      <c r="AR107" s="471">
        <f t="shared" si="112"/>
        <v>0</v>
      </c>
      <c r="AS107" s="478">
        <f t="shared" si="113"/>
        <v>0</v>
      </c>
      <c r="AT107" s="479">
        <f t="shared" si="114"/>
        <v>2154500</v>
      </c>
      <c r="AU107" s="471"/>
      <c r="AV107" s="481"/>
      <c r="AW107" s="482">
        <v>15000</v>
      </c>
      <c r="AX107" s="481"/>
      <c r="AY107" s="471"/>
      <c r="AZ107" s="471"/>
      <c r="BA107" s="483">
        <f t="shared" si="115"/>
        <v>2139500</v>
      </c>
      <c r="BB107" s="471"/>
      <c r="BC107" s="481"/>
      <c r="BD107" s="482">
        <v>15000</v>
      </c>
      <c r="BE107" s="481"/>
      <c r="BF107" s="471"/>
      <c r="BG107" s="471"/>
      <c r="BH107" s="483">
        <f t="shared" si="116"/>
        <v>2139500</v>
      </c>
    </row>
    <row r="108" spans="1:60" s="484" customFormat="1" ht="17.25" customHeight="1" x14ac:dyDescent="0.25">
      <c r="A108" s="469"/>
      <c r="B108" s="470">
        <v>105</v>
      </c>
      <c r="C108" s="471" t="s">
        <v>144</v>
      </c>
      <c r="D108" s="489" t="s">
        <v>258</v>
      </c>
      <c r="E108" s="471"/>
      <c r="F108" s="471"/>
      <c r="G108" s="471"/>
      <c r="H108" s="471"/>
      <c r="I108" s="490" t="s">
        <v>287</v>
      </c>
      <c r="J108" s="471" t="s">
        <v>298</v>
      </c>
      <c r="K108" s="474">
        <f t="shared" si="134"/>
        <v>1730000</v>
      </c>
      <c r="L108" s="475">
        <v>100000</v>
      </c>
      <c r="M108" s="471"/>
      <c r="N108" s="471"/>
      <c r="O108" s="471"/>
      <c r="P108" s="474"/>
      <c r="Q108" s="471"/>
      <c r="R108" s="481">
        <v>9100</v>
      </c>
      <c r="S108" s="471">
        <v>22</v>
      </c>
      <c r="T108" s="478">
        <f t="shared" ref="T108" si="138">R108*S108</f>
        <v>200200</v>
      </c>
      <c r="U108" s="471"/>
      <c r="V108" s="479">
        <f t="shared" si="102"/>
        <v>2030200</v>
      </c>
      <c r="W108" s="471"/>
      <c r="X108" s="480"/>
      <c r="Y108" s="471"/>
      <c r="Z108" s="471"/>
      <c r="AA108" s="471">
        <f t="shared" si="105"/>
        <v>0</v>
      </c>
      <c r="AB108" s="471">
        <v>8500</v>
      </c>
      <c r="AC108" s="471"/>
      <c r="AD108" s="471">
        <f t="shared" si="106"/>
        <v>0</v>
      </c>
      <c r="AE108" s="479"/>
      <c r="AF108" s="479">
        <f t="shared" si="107"/>
        <v>0</v>
      </c>
      <c r="AG108" s="481">
        <f t="shared" si="108"/>
        <v>9100</v>
      </c>
      <c r="AH108" s="471"/>
      <c r="AI108" s="478">
        <f t="shared" si="109"/>
        <v>0</v>
      </c>
      <c r="AJ108" s="479">
        <f t="shared" si="131"/>
        <v>61785.714285714283</v>
      </c>
      <c r="AK108" s="471"/>
      <c r="AL108" s="471">
        <f t="shared" si="110"/>
        <v>0</v>
      </c>
      <c r="AM108" s="471"/>
      <c r="AN108" s="471"/>
      <c r="AO108" s="471">
        <f t="shared" si="111"/>
        <v>0</v>
      </c>
      <c r="AP108" s="471"/>
      <c r="AQ108" s="471"/>
      <c r="AR108" s="471">
        <f t="shared" si="112"/>
        <v>0</v>
      </c>
      <c r="AS108" s="478">
        <f t="shared" si="113"/>
        <v>0</v>
      </c>
      <c r="AT108" s="479">
        <f t="shared" si="114"/>
        <v>2030200</v>
      </c>
      <c r="AU108" s="471"/>
      <c r="AV108" s="481"/>
      <c r="AW108" s="482">
        <v>15000</v>
      </c>
      <c r="AX108" s="481"/>
      <c r="AY108" s="471"/>
      <c r="AZ108" s="471"/>
      <c r="BA108" s="483">
        <f t="shared" si="115"/>
        <v>2015200</v>
      </c>
      <c r="BB108" s="471"/>
      <c r="BC108" s="481"/>
      <c r="BD108" s="482">
        <v>15000</v>
      </c>
      <c r="BE108" s="481"/>
      <c r="BF108" s="471"/>
      <c r="BG108" s="471"/>
      <c r="BH108" s="483">
        <f t="shared" si="116"/>
        <v>2015200</v>
      </c>
    </row>
    <row r="109" spans="1:60" s="497" customFormat="1" ht="14.25" customHeight="1" x14ac:dyDescent="0.2">
      <c r="A109" s="493"/>
      <c r="B109" s="470">
        <v>106</v>
      </c>
      <c r="C109" s="494" t="s">
        <v>210</v>
      </c>
      <c r="D109" s="493"/>
      <c r="E109" s="493"/>
      <c r="F109" s="493"/>
      <c r="G109" s="493"/>
      <c r="H109" s="493"/>
      <c r="I109" s="495">
        <v>44805</v>
      </c>
      <c r="J109" s="493" t="s">
        <v>299</v>
      </c>
      <c r="K109" s="474">
        <f>SUM(1730000*100%)</f>
        <v>1730000</v>
      </c>
      <c r="L109" s="475">
        <v>100000</v>
      </c>
      <c r="M109" s="476"/>
      <c r="N109" s="476"/>
      <c r="O109" s="476"/>
      <c r="P109" s="474"/>
      <c r="Q109" s="481"/>
      <c r="R109" s="471">
        <v>11000</v>
      </c>
      <c r="S109" s="471">
        <v>22</v>
      </c>
      <c r="T109" s="478">
        <f t="shared" ref="T109:T117" si="139">R109*S109</f>
        <v>242000</v>
      </c>
      <c r="U109" s="481"/>
      <c r="V109" s="479">
        <f t="shared" si="102"/>
        <v>2072000</v>
      </c>
      <c r="W109" s="471"/>
      <c r="X109" s="480"/>
      <c r="Y109" s="471"/>
      <c r="Z109" s="471"/>
      <c r="AA109" s="471">
        <f t="shared" si="105"/>
        <v>0</v>
      </c>
      <c r="AB109" s="471">
        <v>8500</v>
      </c>
      <c r="AC109" s="471"/>
      <c r="AD109" s="471">
        <f t="shared" si="106"/>
        <v>0</v>
      </c>
      <c r="AE109" s="479"/>
      <c r="AF109" s="479">
        <f t="shared" si="107"/>
        <v>0</v>
      </c>
      <c r="AG109" s="481">
        <f t="shared" si="108"/>
        <v>11000</v>
      </c>
      <c r="AH109" s="471"/>
      <c r="AI109" s="478">
        <f t="shared" si="109"/>
        <v>0</v>
      </c>
      <c r="AJ109" s="496">
        <f t="shared" si="131"/>
        <v>61785.714285714283</v>
      </c>
      <c r="AK109" s="471"/>
      <c r="AL109" s="471">
        <f t="shared" si="110"/>
        <v>0</v>
      </c>
      <c r="AM109" s="471"/>
      <c r="AN109" s="471"/>
      <c r="AO109" s="471">
        <f t="shared" si="111"/>
        <v>0</v>
      </c>
      <c r="AP109" s="471"/>
      <c r="AQ109" s="471"/>
      <c r="AR109" s="471">
        <f t="shared" si="112"/>
        <v>0</v>
      </c>
      <c r="AS109" s="478">
        <f t="shared" si="113"/>
        <v>0</v>
      </c>
      <c r="AT109" s="479">
        <f t="shared" si="114"/>
        <v>2072000</v>
      </c>
      <c r="AU109" s="471"/>
      <c r="AV109" s="481"/>
      <c r="AW109" s="482">
        <v>15000</v>
      </c>
      <c r="AX109" s="481"/>
      <c r="AY109" s="471"/>
      <c r="AZ109" s="471"/>
      <c r="BA109" s="483">
        <f t="shared" si="115"/>
        <v>2057000</v>
      </c>
      <c r="BB109" s="471"/>
      <c r="BC109" s="481"/>
      <c r="BD109" s="482">
        <v>15000</v>
      </c>
      <c r="BE109" s="481"/>
      <c r="BF109" s="471"/>
      <c r="BG109" s="471"/>
      <c r="BH109" s="483">
        <f t="shared" si="116"/>
        <v>2057000</v>
      </c>
    </row>
    <row r="110" spans="1:60" s="497" customFormat="1" x14ac:dyDescent="0.2">
      <c r="A110" s="493"/>
      <c r="B110" s="470">
        <v>107</v>
      </c>
      <c r="C110" s="494" t="s">
        <v>211</v>
      </c>
      <c r="D110" s="493"/>
      <c r="E110" s="493"/>
      <c r="F110" s="493"/>
      <c r="G110" s="493"/>
      <c r="H110" s="493"/>
      <c r="I110" s="495">
        <v>44805</v>
      </c>
      <c r="J110" s="493" t="s">
        <v>299</v>
      </c>
      <c r="K110" s="474">
        <f>SUM(1730000*100%)</f>
        <v>1730000</v>
      </c>
      <c r="L110" s="475">
        <v>100000</v>
      </c>
      <c r="M110" s="476"/>
      <c r="N110" s="476"/>
      <c r="O110" s="476"/>
      <c r="P110" s="474"/>
      <c r="Q110" s="481"/>
      <c r="R110" s="471">
        <v>3700</v>
      </c>
      <c r="S110" s="471">
        <v>22</v>
      </c>
      <c r="T110" s="478">
        <f t="shared" si="139"/>
        <v>81400</v>
      </c>
      <c r="U110" s="481"/>
      <c r="V110" s="479">
        <f t="shared" si="102"/>
        <v>1911400</v>
      </c>
      <c r="W110" s="471"/>
      <c r="X110" s="480"/>
      <c r="Y110" s="471"/>
      <c r="Z110" s="471"/>
      <c r="AA110" s="471">
        <f t="shared" si="105"/>
        <v>0</v>
      </c>
      <c r="AB110" s="471">
        <v>8500</v>
      </c>
      <c r="AC110" s="471"/>
      <c r="AD110" s="471">
        <f t="shared" si="106"/>
        <v>0</v>
      </c>
      <c r="AE110" s="479"/>
      <c r="AF110" s="479">
        <f t="shared" si="107"/>
        <v>0</v>
      </c>
      <c r="AG110" s="481">
        <f t="shared" si="108"/>
        <v>3700</v>
      </c>
      <c r="AH110" s="471"/>
      <c r="AI110" s="478">
        <f t="shared" si="109"/>
        <v>0</v>
      </c>
      <c r="AJ110" s="498">
        <f t="shared" si="131"/>
        <v>61785.714285714283</v>
      </c>
      <c r="AK110" s="471"/>
      <c r="AL110" s="471">
        <f t="shared" si="110"/>
        <v>0</v>
      </c>
      <c r="AM110" s="471"/>
      <c r="AN110" s="471"/>
      <c r="AO110" s="471">
        <f t="shared" si="111"/>
        <v>0</v>
      </c>
      <c r="AP110" s="471"/>
      <c r="AQ110" s="471"/>
      <c r="AR110" s="471">
        <f t="shared" si="112"/>
        <v>0</v>
      </c>
      <c r="AS110" s="478">
        <f t="shared" si="113"/>
        <v>0</v>
      </c>
      <c r="AT110" s="479">
        <f t="shared" si="114"/>
        <v>1911400</v>
      </c>
      <c r="AU110" s="471"/>
      <c r="AV110" s="481"/>
      <c r="AW110" s="482">
        <v>15000</v>
      </c>
      <c r="AX110" s="481"/>
      <c r="AY110" s="471"/>
      <c r="AZ110" s="471"/>
      <c r="BA110" s="483">
        <f t="shared" si="115"/>
        <v>1896400</v>
      </c>
      <c r="BB110" s="471"/>
      <c r="BC110" s="481"/>
      <c r="BD110" s="482">
        <v>15000</v>
      </c>
      <c r="BE110" s="481"/>
      <c r="BF110" s="471"/>
      <c r="BG110" s="471"/>
      <c r="BH110" s="483">
        <f t="shared" si="116"/>
        <v>1896400</v>
      </c>
    </row>
    <row r="111" spans="1:60" s="502" customFormat="1" x14ac:dyDescent="0.2">
      <c r="A111" s="493"/>
      <c r="B111" s="470">
        <v>108</v>
      </c>
      <c r="C111" s="494" t="s">
        <v>366</v>
      </c>
      <c r="D111" s="493"/>
      <c r="E111" s="493"/>
      <c r="F111" s="493"/>
      <c r="G111" s="493"/>
      <c r="H111" s="493"/>
      <c r="I111" s="499" t="s">
        <v>472</v>
      </c>
      <c r="J111" s="493"/>
      <c r="K111" s="474">
        <f>SUM(1730000*100%)</f>
        <v>1730000</v>
      </c>
      <c r="L111" s="475">
        <v>100000</v>
      </c>
      <c r="M111" s="476"/>
      <c r="N111" s="476"/>
      <c r="O111" s="476"/>
      <c r="P111" s="474"/>
      <c r="Q111" s="481"/>
      <c r="R111" s="471">
        <v>5500</v>
      </c>
      <c r="S111" s="471">
        <v>22</v>
      </c>
      <c r="T111" s="478">
        <f t="shared" si="139"/>
        <v>121000</v>
      </c>
      <c r="U111" s="481"/>
      <c r="V111" s="479">
        <f t="shared" si="102"/>
        <v>1951000</v>
      </c>
      <c r="W111" s="471"/>
      <c r="X111" s="480"/>
      <c r="Y111" s="471"/>
      <c r="Z111" s="471"/>
      <c r="AA111" s="471">
        <f t="shared" si="105"/>
        <v>0</v>
      </c>
      <c r="AB111" s="471">
        <v>8500</v>
      </c>
      <c r="AC111" s="471"/>
      <c r="AD111" s="471">
        <f t="shared" si="106"/>
        <v>0</v>
      </c>
      <c r="AE111" s="479"/>
      <c r="AF111" s="479">
        <f t="shared" si="107"/>
        <v>0</v>
      </c>
      <c r="AG111" s="481">
        <f t="shared" si="108"/>
        <v>5500</v>
      </c>
      <c r="AH111" s="471"/>
      <c r="AI111" s="478">
        <f t="shared" si="109"/>
        <v>0</v>
      </c>
      <c r="AJ111" s="498">
        <f t="shared" si="131"/>
        <v>61785.714285714283</v>
      </c>
      <c r="AK111" s="471"/>
      <c r="AL111" s="471">
        <f t="shared" si="110"/>
        <v>0</v>
      </c>
      <c r="AM111" s="471"/>
      <c r="AN111" s="471"/>
      <c r="AO111" s="471"/>
      <c r="AP111" s="471"/>
      <c r="AQ111" s="471"/>
      <c r="AR111" s="471"/>
      <c r="AS111" s="478">
        <f t="shared" si="113"/>
        <v>0</v>
      </c>
      <c r="AT111" s="479">
        <f t="shared" si="114"/>
        <v>1951000</v>
      </c>
      <c r="AU111" s="500"/>
      <c r="AV111" s="501"/>
      <c r="AW111" s="482"/>
      <c r="AX111" s="501"/>
      <c r="AY111" s="500"/>
      <c r="AZ111" s="500"/>
      <c r="BA111" s="483"/>
      <c r="BB111" s="500"/>
      <c r="BC111" s="501"/>
      <c r="BD111" s="482">
        <v>15000</v>
      </c>
      <c r="BE111" s="501"/>
      <c r="BF111" s="500"/>
      <c r="BG111" s="500"/>
      <c r="BH111" s="483">
        <f t="shared" si="116"/>
        <v>1936000</v>
      </c>
    </row>
    <row r="112" spans="1:60" s="502" customFormat="1" x14ac:dyDescent="0.2">
      <c r="A112" s="493"/>
      <c r="B112" s="470">
        <v>109</v>
      </c>
      <c r="C112" s="494" t="s">
        <v>367</v>
      </c>
      <c r="D112" s="493"/>
      <c r="E112" s="493"/>
      <c r="F112" s="493"/>
      <c r="G112" s="493"/>
      <c r="H112" s="493"/>
      <c r="I112" s="499" t="s">
        <v>472</v>
      </c>
      <c r="J112" s="493"/>
      <c r="K112" s="474">
        <f>SUM(1730000*100%)</f>
        <v>1730000</v>
      </c>
      <c r="L112" s="475">
        <v>100000</v>
      </c>
      <c r="M112" s="476"/>
      <c r="N112" s="476"/>
      <c r="O112" s="476"/>
      <c r="P112" s="474"/>
      <c r="Q112" s="481"/>
      <c r="R112" s="471">
        <v>13000</v>
      </c>
      <c r="S112" s="471">
        <v>22</v>
      </c>
      <c r="T112" s="478">
        <f t="shared" si="139"/>
        <v>286000</v>
      </c>
      <c r="U112" s="481"/>
      <c r="V112" s="479">
        <f t="shared" si="102"/>
        <v>2116000</v>
      </c>
      <c r="W112" s="471"/>
      <c r="X112" s="480"/>
      <c r="Y112" s="471"/>
      <c r="Z112" s="471"/>
      <c r="AA112" s="471">
        <f t="shared" si="105"/>
        <v>0</v>
      </c>
      <c r="AB112" s="471">
        <v>8500</v>
      </c>
      <c r="AC112" s="471"/>
      <c r="AD112" s="471">
        <f t="shared" si="106"/>
        <v>0</v>
      </c>
      <c r="AE112" s="479"/>
      <c r="AF112" s="479">
        <f t="shared" si="107"/>
        <v>0</v>
      </c>
      <c r="AG112" s="481">
        <f t="shared" si="108"/>
        <v>13000</v>
      </c>
      <c r="AH112" s="471"/>
      <c r="AI112" s="478">
        <f t="shared" si="109"/>
        <v>0</v>
      </c>
      <c r="AJ112" s="498">
        <f t="shared" si="131"/>
        <v>61785.714285714283</v>
      </c>
      <c r="AK112" s="471"/>
      <c r="AL112" s="471">
        <f t="shared" si="110"/>
        <v>0</v>
      </c>
      <c r="AM112" s="471"/>
      <c r="AN112" s="471"/>
      <c r="AO112" s="471"/>
      <c r="AP112" s="471"/>
      <c r="AQ112" s="471"/>
      <c r="AR112" s="471"/>
      <c r="AS112" s="478">
        <f t="shared" si="113"/>
        <v>0</v>
      </c>
      <c r="AT112" s="479">
        <f t="shared" si="114"/>
        <v>2116000</v>
      </c>
      <c r="AU112" s="500"/>
      <c r="AV112" s="501"/>
      <c r="AW112" s="482"/>
      <c r="AX112" s="501"/>
      <c r="AY112" s="500"/>
      <c r="AZ112" s="500"/>
      <c r="BA112" s="483"/>
      <c r="BB112" s="471"/>
      <c r="BC112" s="481"/>
      <c r="BD112" s="482">
        <v>15000</v>
      </c>
      <c r="BE112" s="481"/>
      <c r="BF112" s="471"/>
      <c r="BG112" s="471"/>
      <c r="BH112" s="483">
        <f t="shared" si="116"/>
        <v>2101000</v>
      </c>
    </row>
    <row r="113" spans="1:60" s="167" customFormat="1" ht="15" customHeight="1" x14ac:dyDescent="0.25">
      <c r="A113" s="174">
        <v>104</v>
      </c>
      <c r="B113" s="318">
        <v>110</v>
      </c>
      <c r="C113" s="138" t="s">
        <v>126</v>
      </c>
      <c r="D113" s="188"/>
      <c r="E113" s="138"/>
      <c r="F113" s="138"/>
      <c r="G113" s="138"/>
      <c r="H113" s="138"/>
      <c r="I113" s="189"/>
      <c r="J113" s="138"/>
      <c r="K113" s="138"/>
      <c r="L113" s="190"/>
      <c r="M113" s="171"/>
      <c r="N113" s="171"/>
      <c r="O113" s="171"/>
      <c r="P113" s="191"/>
      <c r="Q113" s="172"/>
      <c r="R113" s="123">
        <v>3700</v>
      </c>
      <c r="S113" s="123"/>
      <c r="T113" s="181">
        <f t="shared" si="139"/>
        <v>0</v>
      </c>
      <c r="U113" s="202"/>
      <c r="V113" s="40">
        <f t="shared" si="102"/>
        <v>0</v>
      </c>
      <c r="W113" s="138"/>
      <c r="X113" s="192"/>
      <c r="Y113" s="138"/>
      <c r="Z113" s="138"/>
      <c r="AA113" s="36">
        <f t="shared" si="105"/>
        <v>0</v>
      </c>
      <c r="AB113" s="138"/>
      <c r="AC113" s="138"/>
      <c r="AD113" s="36">
        <f t="shared" si="106"/>
        <v>0</v>
      </c>
      <c r="AE113" s="182"/>
      <c r="AF113" s="40">
        <f t="shared" si="107"/>
        <v>0</v>
      </c>
      <c r="AG113" s="37">
        <f t="shared" si="108"/>
        <v>3700</v>
      </c>
      <c r="AH113" s="138"/>
      <c r="AI113" s="39">
        <f t="shared" si="109"/>
        <v>0</v>
      </c>
      <c r="AJ113" s="138"/>
      <c r="AK113" s="138"/>
      <c r="AL113" s="36">
        <f t="shared" si="110"/>
        <v>0</v>
      </c>
      <c r="AM113" s="138"/>
      <c r="AN113" s="138"/>
      <c r="AO113" s="138">
        <f t="shared" si="111"/>
        <v>0</v>
      </c>
      <c r="AP113" s="138"/>
      <c r="AQ113" s="138"/>
      <c r="AR113" s="138">
        <f t="shared" si="112"/>
        <v>0</v>
      </c>
      <c r="AS113" s="39">
        <f t="shared" si="113"/>
        <v>0</v>
      </c>
      <c r="AT113" s="40">
        <f t="shared" si="114"/>
        <v>0</v>
      </c>
      <c r="AU113" s="193"/>
      <c r="AV113" s="194"/>
      <c r="AW113" s="183">
        <v>15000</v>
      </c>
      <c r="AX113" s="194"/>
      <c r="AY113" s="193"/>
      <c r="AZ113" s="193"/>
      <c r="BA113" s="184">
        <f t="shared" si="115"/>
        <v>-15000</v>
      </c>
      <c r="BB113" s="138"/>
      <c r="BC113" s="166"/>
      <c r="BD113" s="132"/>
      <c r="BE113" s="127"/>
      <c r="BF113" s="138"/>
      <c r="BG113" s="138"/>
      <c r="BH113" s="135">
        <f t="shared" si="116"/>
        <v>0</v>
      </c>
    </row>
    <row r="114" spans="1:60" s="167" customFormat="1" ht="16.5" customHeight="1" x14ac:dyDescent="0.25">
      <c r="A114" s="174">
        <v>105</v>
      </c>
      <c r="B114" s="318">
        <v>111</v>
      </c>
      <c r="C114" s="138" t="s">
        <v>94</v>
      </c>
      <c r="D114" s="188"/>
      <c r="E114" s="138"/>
      <c r="F114" s="138"/>
      <c r="G114" s="138"/>
      <c r="H114" s="138"/>
      <c r="I114" s="189"/>
      <c r="J114" s="138"/>
      <c r="K114" s="138"/>
      <c r="L114" s="179"/>
      <c r="M114" s="138"/>
      <c r="N114" s="138"/>
      <c r="O114" s="138"/>
      <c r="P114" s="191"/>
      <c r="Q114" s="171"/>
      <c r="R114" s="123">
        <v>3700</v>
      </c>
      <c r="S114" s="123"/>
      <c r="T114" s="181">
        <f t="shared" si="139"/>
        <v>0</v>
      </c>
      <c r="U114" s="201">
        <v>24509</v>
      </c>
      <c r="V114" s="40">
        <f t="shared" si="102"/>
        <v>24509</v>
      </c>
      <c r="W114" s="138"/>
      <c r="X114" s="192"/>
      <c r="Y114" s="138"/>
      <c r="Z114" s="138"/>
      <c r="AA114" s="36">
        <f t="shared" si="105"/>
        <v>0</v>
      </c>
      <c r="AB114" s="138">
        <v>8500</v>
      </c>
      <c r="AC114" s="138"/>
      <c r="AD114" s="36">
        <f t="shared" si="106"/>
        <v>0</v>
      </c>
      <c r="AE114" s="182"/>
      <c r="AF114" s="40">
        <f t="shared" si="107"/>
        <v>0</v>
      </c>
      <c r="AG114" s="37">
        <f t="shared" si="108"/>
        <v>3700</v>
      </c>
      <c r="AH114" s="138"/>
      <c r="AI114" s="39">
        <f t="shared" si="109"/>
        <v>0</v>
      </c>
      <c r="AJ114" s="138"/>
      <c r="AK114" s="138"/>
      <c r="AL114" s="36">
        <f t="shared" si="110"/>
        <v>0</v>
      </c>
      <c r="AM114" s="138"/>
      <c r="AN114" s="138"/>
      <c r="AO114" s="138">
        <f t="shared" si="111"/>
        <v>0</v>
      </c>
      <c r="AP114" s="138"/>
      <c r="AQ114" s="138"/>
      <c r="AR114" s="138">
        <f t="shared" si="112"/>
        <v>0</v>
      </c>
      <c r="AS114" s="39">
        <f t="shared" si="113"/>
        <v>0</v>
      </c>
      <c r="AT114" s="40">
        <f t="shared" si="114"/>
        <v>24509</v>
      </c>
      <c r="AU114" s="138"/>
      <c r="AV114" s="166"/>
      <c r="AW114" s="183">
        <v>15000</v>
      </c>
      <c r="AX114" s="166">
        <v>22726</v>
      </c>
      <c r="AY114" s="138"/>
      <c r="AZ114" s="138"/>
      <c r="BA114" s="184">
        <f t="shared" si="115"/>
        <v>-13217</v>
      </c>
      <c r="BB114" s="138"/>
      <c r="BC114" s="166"/>
      <c r="BD114" s="132"/>
      <c r="BE114" s="127">
        <v>24509</v>
      </c>
      <c r="BF114" s="138"/>
      <c r="BG114" s="138"/>
      <c r="BH114" s="135">
        <f t="shared" si="116"/>
        <v>0</v>
      </c>
    </row>
    <row r="115" spans="1:60" s="167" customFormat="1" ht="19.5" customHeight="1" x14ac:dyDescent="0.25">
      <c r="A115" s="174">
        <v>106</v>
      </c>
      <c r="B115" s="318">
        <v>112</v>
      </c>
      <c r="C115" s="138" t="s">
        <v>95</v>
      </c>
      <c r="D115" s="188"/>
      <c r="E115" s="138"/>
      <c r="F115" s="138"/>
      <c r="G115" s="138"/>
      <c r="H115" s="138"/>
      <c r="I115" s="189"/>
      <c r="J115" s="138"/>
      <c r="K115" s="171"/>
      <c r="L115" s="190"/>
      <c r="M115" s="171"/>
      <c r="N115" s="171"/>
      <c r="O115" s="171"/>
      <c r="P115" s="191"/>
      <c r="Q115" s="171"/>
      <c r="R115" s="123">
        <v>9100</v>
      </c>
      <c r="S115" s="123"/>
      <c r="T115" s="181">
        <f t="shared" si="139"/>
        <v>0</v>
      </c>
      <c r="U115" s="201"/>
      <c r="V115" s="40">
        <f t="shared" si="102"/>
        <v>0</v>
      </c>
      <c r="W115" s="138"/>
      <c r="X115" s="192"/>
      <c r="Y115" s="138"/>
      <c r="Z115" s="138"/>
      <c r="AA115" s="36">
        <f t="shared" si="105"/>
        <v>0</v>
      </c>
      <c r="AB115" s="138">
        <v>8500</v>
      </c>
      <c r="AC115" s="138"/>
      <c r="AD115" s="36">
        <f t="shared" si="106"/>
        <v>0</v>
      </c>
      <c r="AE115" s="182"/>
      <c r="AF115" s="40">
        <f t="shared" si="107"/>
        <v>0</v>
      </c>
      <c r="AG115" s="37">
        <f t="shared" si="108"/>
        <v>9100</v>
      </c>
      <c r="AH115" s="138"/>
      <c r="AI115" s="39">
        <f t="shared" si="109"/>
        <v>0</v>
      </c>
      <c r="AJ115" s="138"/>
      <c r="AK115" s="138"/>
      <c r="AL115" s="36">
        <f t="shared" si="110"/>
        <v>0</v>
      </c>
      <c r="AM115" s="138"/>
      <c r="AN115" s="138"/>
      <c r="AO115" s="138">
        <f t="shared" si="111"/>
        <v>0</v>
      </c>
      <c r="AP115" s="138"/>
      <c r="AQ115" s="138"/>
      <c r="AR115" s="138">
        <f t="shared" si="112"/>
        <v>0</v>
      </c>
      <c r="AS115" s="39">
        <f t="shared" si="113"/>
        <v>0</v>
      </c>
      <c r="AT115" s="40">
        <f t="shared" si="114"/>
        <v>0</v>
      </c>
      <c r="AU115" s="138"/>
      <c r="AV115" s="166"/>
      <c r="AW115" s="183">
        <v>15000</v>
      </c>
      <c r="AX115" s="166"/>
      <c r="AY115" s="138"/>
      <c r="AZ115" s="138"/>
      <c r="BA115" s="184">
        <f t="shared" si="115"/>
        <v>-15000</v>
      </c>
      <c r="BB115" s="183"/>
      <c r="BC115" s="165"/>
      <c r="BD115" s="132"/>
      <c r="BE115" s="133"/>
      <c r="BF115" s="183"/>
      <c r="BG115" s="183"/>
      <c r="BH115" s="135">
        <f t="shared" si="116"/>
        <v>0</v>
      </c>
    </row>
    <row r="116" spans="1:60" s="187" customFormat="1" x14ac:dyDescent="0.2">
      <c r="A116" s="185"/>
      <c r="B116" s="318">
        <v>113</v>
      </c>
      <c r="C116" s="185" t="s">
        <v>212</v>
      </c>
      <c r="D116" s="185"/>
      <c r="E116" s="185"/>
      <c r="F116" s="185"/>
      <c r="G116" s="185"/>
      <c r="H116" s="185"/>
      <c r="I116" s="186"/>
      <c r="J116" s="185"/>
      <c r="K116" s="171"/>
      <c r="L116" s="179"/>
      <c r="M116" s="171"/>
      <c r="N116" s="171"/>
      <c r="O116" s="171"/>
      <c r="P116" s="191"/>
      <c r="Q116" s="166"/>
      <c r="R116" s="123">
        <v>5500</v>
      </c>
      <c r="S116" s="123"/>
      <c r="T116" s="181">
        <f>R116*S116</f>
        <v>0</v>
      </c>
      <c r="U116" s="201"/>
      <c r="V116" s="40">
        <f t="shared" si="102"/>
        <v>0</v>
      </c>
      <c r="W116" s="138"/>
      <c r="X116" s="192"/>
      <c r="Y116" s="138"/>
      <c r="Z116" s="138"/>
      <c r="AA116" s="36">
        <f t="shared" si="105"/>
        <v>0</v>
      </c>
      <c r="AB116" s="138"/>
      <c r="AC116" s="138"/>
      <c r="AD116" s="36">
        <f t="shared" si="106"/>
        <v>0</v>
      </c>
      <c r="AE116" s="182"/>
      <c r="AF116" s="40">
        <f t="shared" si="107"/>
        <v>0</v>
      </c>
      <c r="AG116" s="37">
        <f t="shared" si="108"/>
        <v>5500</v>
      </c>
      <c r="AH116" s="138"/>
      <c r="AI116" s="39">
        <f t="shared" si="109"/>
        <v>0</v>
      </c>
      <c r="AJ116" s="138"/>
      <c r="AK116" s="138"/>
      <c r="AL116" s="36">
        <f t="shared" si="110"/>
        <v>0</v>
      </c>
      <c r="AM116" s="138"/>
      <c r="AN116" s="138"/>
      <c r="AO116" s="138">
        <f t="shared" si="111"/>
        <v>0</v>
      </c>
      <c r="AP116" s="138"/>
      <c r="AQ116" s="138"/>
      <c r="AR116" s="138">
        <f t="shared" si="112"/>
        <v>0</v>
      </c>
      <c r="AS116" s="39">
        <f t="shared" si="113"/>
        <v>0</v>
      </c>
      <c r="AT116" s="40">
        <f t="shared" si="114"/>
        <v>0</v>
      </c>
      <c r="AU116" s="138"/>
      <c r="AV116" s="166"/>
      <c r="AW116" s="183">
        <v>15000</v>
      </c>
      <c r="AX116" s="138"/>
      <c r="AY116" s="138"/>
      <c r="AZ116" s="138"/>
      <c r="BA116" s="184">
        <f t="shared" si="115"/>
        <v>-15000</v>
      </c>
      <c r="BB116" s="133"/>
      <c r="BC116" s="134"/>
      <c r="BD116" s="132"/>
      <c r="BE116" s="133"/>
      <c r="BF116" s="133"/>
      <c r="BG116" s="133"/>
      <c r="BH116" s="135">
        <f t="shared" si="116"/>
        <v>0</v>
      </c>
    </row>
    <row r="117" spans="1:60" s="167" customFormat="1" ht="15.6" customHeight="1" x14ac:dyDescent="0.25">
      <c r="A117" s="174">
        <v>107</v>
      </c>
      <c r="B117" s="318">
        <v>114</v>
      </c>
      <c r="C117" s="138" t="s">
        <v>104</v>
      </c>
      <c r="D117" s="195"/>
      <c r="E117" s="193"/>
      <c r="F117" s="193"/>
      <c r="G117" s="193"/>
      <c r="H117" s="193"/>
      <c r="I117" s="196"/>
      <c r="J117" s="193"/>
      <c r="K117" s="171"/>
      <c r="L117" s="190"/>
      <c r="M117" s="171"/>
      <c r="N117" s="171"/>
      <c r="O117" s="171"/>
      <c r="P117" s="191"/>
      <c r="Q117" s="171"/>
      <c r="R117" s="200">
        <v>7300</v>
      </c>
      <c r="S117" s="123"/>
      <c r="T117" s="181">
        <f t="shared" si="139"/>
        <v>0</v>
      </c>
      <c r="U117" s="201"/>
      <c r="V117" s="40">
        <f t="shared" si="102"/>
        <v>0</v>
      </c>
      <c r="W117" s="193"/>
      <c r="X117" s="197"/>
      <c r="Y117" s="193"/>
      <c r="Z117" s="193"/>
      <c r="AA117" s="36">
        <f t="shared" si="105"/>
        <v>0</v>
      </c>
      <c r="AB117" s="193">
        <v>8500</v>
      </c>
      <c r="AC117" s="193"/>
      <c r="AD117" s="36">
        <f t="shared" si="106"/>
        <v>0</v>
      </c>
      <c r="AE117" s="182"/>
      <c r="AF117" s="40">
        <f t="shared" si="107"/>
        <v>0</v>
      </c>
      <c r="AG117" s="37">
        <f t="shared" si="108"/>
        <v>7300</v>
      </c>
      <c r="AH117" s="193"/>
      <c r="AI117" s="39">
        <f t="shared" si="109"/>
        <v>0</v>
      </c>
      <c r="AJ117" s="193"/>
      <c r="AK117" s="193"/>
      <c r="AL117" s="36">
        <f t="shared" si="110"/>
        <v>0</v>
      </c>
      <c r="AM117" s="193"/>
      <c r="AN117" s="193"/>
      <c r="AO117" s="138">
        <f t="shared" si="111"/>
        <v>0</v>
      </c>
      <c r="AP117" s="193"/>
      <c r="AQ117" s="193"/>
      <c r="AR117" s="138">
        <f t="shared" si="112"/>
        <v>0</v>
      </c>
      <c r="AS117" s="39">
        <f t="shared" si="113"/>
        <v>0</v>
      </c>
      <c r="AT117" s="40">
        <f t="shared" si="114"/>
        <v>0</v>
      </c>
      <c r="AU117" s="183"/>
      <c r="AV117" s="165"/>
      <c r="AW117" s="183">
        <v>15000</v>
      </c>
      <c r="AX117" s="183"/>
      <c r="AY117" s="183"/>
      <c r="AZ117" s="183"/>
      <c r="BA117" s="184">
        <f t="shared" si="115"/>
        <v>-15000</v>
      </c>
      <c r="BB117" s="133"/>
      <c r="BC117" s="134"/>
      <c r="BD117" s="132"/>
      <c r="BE117" s="133"/>
      <c r="BF117" s="133"/>
      <c r="BG117" s="133"/>
      <c r="BH117" s="135">
        <f t="shared" si="116"/>
        <v>0</v>
      </c>
    </row>
    <row r="118" spans="1:60" s="41" customFormat="1" ht="20.25" customHeight="1" x14ac:dyDescent="0.25">
      <c r="A118" s="42">
        <v>108</v>
      </c>
      <c r="B118" s="42">
        <v>115</v>
      </c>
      <c r="C118" s="36" t="s">
        <v>67</v>
      </c>
      <c r="D118" s="116"/>
      <c r="E118" s="36"/>
      <c r="F118" s="36"/>
      <c r="G118" s="36"/>
      <c r="H118" s="36"/>
      <c r="I118" s="503" t="s">
        <v>284</v>
      </c>
      <c r="J118" s="36" t="s">
        <v>291</v>
      </c>
      <c r="K118" s="35">
        <v>800000</v>
      </c>
      <c r="L118" s="168"/>
      <c r="M118" s="35">
        <v>50000</v>
      </c>
      <c r="N118" s="38">
        <f t="shared" ref="N118" si="140">K118*5/100</f>
        <v>40000</v>
      </c>
      <c r="O118" s="38">
        <f>K118*2*2/100</f>
        <v>32000</v>
      </c>
      <c r="P118" s="113">
        <f>P13</f>
        <v>32500</v>
      </c>
      <c r="Q118" s="37"/>
      <c r="R118" s="36">
        <v>3700</v>
      </c>
      <c r="S118" s="36">
        <v>22</v>
      </c>
      <c r="T118" s="39">
        <f>R118*S118</f>
        <v>81400</v>
      </c>
      <c r="U118" s="37">
        <v>0</v>
      </c>
      <c r="V118" s="40">
        <f t="shared" si="102"/>
        <v>1035900</v>
      </c>
      <c r="W118" s="36"/>
      <c r="X118" s="114"/>
      <c r="Y118" s="36"/>
      <c r="Z118" s="36"/>
      <c r="AA118" s="36">
        <f t="shared" si="105"/>
        <v>0</v>
      </c>
      <c r="AB118" s="36"/>
      <c r="AC118" s="36"/>
      <c r="AD118" s="36">
        <f t="shared" si="106"/>
        <v>0</v>
      </c>
      <c r="AE118" s="40"/>
      <c r="AF118" s="40">
        <f t="shared" si="107"/>
        <v>0</v>
      </c>
      <c r="AG118" s="37">
        <f t="shared" si="108"/>
        <v>3700</v>
      </c>
      <c r="AH118" s="36"/>
      <c r="AI118" s="39">
        <f t="shared" si="109"/>
        <v>0</v>
      </c>
      <c r="AJ118" s="36"/>
      <c r="AK118" s="36"/>
      <c r="AL118" s="36">
        <f t="shared" si="110"/>
        <v>0</v>
      </c>
      <c r="AM118" s="36"/>
      <c r="AN118" s="36"/>
      <c r="AO118" s="36">
        <f t="shared" si="111"/>
        <v>0</v>
      </c>
      <c r="AP118" s="36"/>
      <c r="AQ118" s="36"/>
      <c r="AR118" s="36">
        <f t="shared" si="112"/>
        <v>0</v>
      </c>
      <c r="AS118" s="39">
        <f t="shared" si="113"/>
        <v>0</v>
      </c>
      <c r="AT118" s="40">
        <f t="shared" si="114"/>
        <v>1035900</v>
      </c>
      <c r="AU118" s="132"/>
      <c r="AV118" s="504"/>
      <c r="AW118" s="132">
        <v>15000</v>
      </c>
      <c r="AX118" s="132"/>
      <c r="AY118" s="132"/>
      <c r="AZ118" s="132"/>
      <c r="BA118" s="135">
        <f t="shared" si="115"/>
        <v>1020900</v>
      </c>
      <c r="BB118" s="132"/>
      <c r="BC118" s="504"/>
      <c r="BD118" s="132">
        <v>15000</v>
      </c>
      <c r="BE118" s="132">
        <v>24509</v>
      </c>
      <c r="BF118" s="132"/>
      <c r="BG118" s="132"/>
      <c r="BH118" s="135">
        <f t="shared" si="116"/>
        <v>996391</v>
      </c>
    </row>
    <row r="119" spans="1:60" s="41" customFormat="1" ht="15" x14ac:dyDescent="0.25">
      <c r="A119" s="117">
        <v>110</v>
      </c>
      <c r="B119" s="42">
        <v>116</v>
      </c>
      <c r="C119" s="36" t="s">
        <v>68</v>
      </c>
      <c r="D119" s="112" t="s">
        <v>259</v>
      </c>
      <c r="E119" s="36" t="s">
        <v>260</v>
      </c>
      <c r="F119" s="36"/>
      <c r="G119" s="36"/>
      <c r="H119" s="36"/>
      <c r="I119" s="505" t="s">
        <v>280</v>
      </c>
      <c r="J119" s="36" t="s">
        <v>291</v>
      </c>
      <c r="K119" s="506">
        <f t="shared" ref="K119:K120" si="141">SUM(1730000*100%)</f>
        <v>1730000</v>
      </c>
      <c r="L119" s="342">
        <v>0</v>
      </c>
      <c r="M119" s="36">
        <v>50000</v>
      </c>
      <c r="N119" s="35"/>
      <c r="O119" s="35"/>
      <c r="P119" s="113">
        <f>P14</f>
        <v>32500</v>
      </c>
      <c r="Q119" s="36"/>
      <c r="R119" s="313">
        <v>13000</v>
      </c>
      <c r="S119" s="313">
        <v>0</v>
      </c>
      <c r="T119" s="314">
        <f>R119*S119</f>
        <v>0</v>
      </c>
      <c r="U119" s="36"/>
      <c r="V119" s="40">
        <f t="shared" si="102"/>
        <v>1812500</v>
      </c>
      <c r="W119" s="36"/>
      <c r="X119" s="36"/>
      <c r="Y119" s="36"/>
      <c r="Z119" s="36"/>
      <c r="AA119" s="36">
        <f t="shared" si="105"/>
        <v>0</v>
      </c>
      <c r="AB119" s="36"/>
      <c r="AC119" s="36"/>
      <c r="AD119" s="36">
        <f t="shared" si="106"/>
        <v>0</v>
      </c>
      <c r="AE119" s="40"/>
      <c r="AF119" s="40">
        <f t="shared" si="107"/>
        <v>0</v>
      </c>
      <c r="AG119" s="37">
        <f t="shared" si="108"/>
        <v>13000</v>
      </c>
      <c r="AH119" s="36"/>
      <c r="AI119" s="39">
        <f t="shared" si="109"/>
        <v>0</v>
      </c>
      <c r="AJ119" s="40">
        <f>K119/22</f>
        <v>78636.363636363632</v>
      </c>
      <c r="AK119" s="36"/>
      <c r="AL119" s="36">
        <f t="shared" si="110"/>
        <v>0</v>
      </c>
      <c r="AM119" s="36"/>
      <c r="AN119" s="36"/>
      <c r="AO119" s="36">
        <f t="shared" si="111"/>
        <v>0</v>
      </c>
      <c r="AP119" s="36"/>
      <c r="AQ119" s="36"/>
      <c r="AR119" s="36">
        <f t="shared" si="112"/>
        <v>0</v>
      </c>
      <c r="AS119" s="39">
        <f t="shared" si="113"/>
        <v>0</v>
      </c>
      <c r="AT119" s="40">
        <f t="shared" si="114"/>
        <v>1812500</v>
      </c>
      <c r="AU119" s="132"/>
      <c r="AV119" s="504"/>
      <c r="AW119" s="132">
        <v>15000</v>
      </c>
      <c r="AX119" s="132"/>
      <c r="AY119" s="132"/>
      <c r="AZ119" s="132"/>
      <c r="BA119" s="135">
        <f t="shared" si="115"/>
        <v>1797500</v>
      </c>
      <c r="BB119" s="132"/>
      <c r="BC119" s="504"/>
      <c r="BD119" s="132">
        <v>15000</v>
      </c>
      <c r="BE119" s="132"/>
      <c r="BF119" s="132"/>
      <c r="BG119" s="132"/>
      <c r="BH119" s="135">
        <f t="shared" si="116"/>
        <v>1797500</v>
      </c>
    </row>
    <row r="120" spans="1:60" s="41" customFormat="1" ht="20.25" customHeight="1" x14ac:dyDescent="0.25">
      <c r="A120" s="117">
        <v>112</v>
      </c>
      <c r="B120" s="42">
        <v>117</v>
      </c>
      <c r="C120" s="36" t="s">
        <v>70</v>
      </c>
      <c r="D120" s="112" t="s">
        <v>261</v>
      </c>
      <c r="E120" s="36"/>
      <c r="F120" s="36"/>
      <c r="G120" s="36"/>
      <c r="H120" s="36"/>
      <c r="I120" s="505" t="s">
        <v>283</v>
      </c>
      <c r="J120" s="36" t="s">
        <v>291</v>
      </c>
      <c r="K120" s="506">
        <f t="shared" si="141"/>
        <v>1730000</v>
      </c>
      <c r="L120" s="168"/>
      <c r="M120" s="36">
        <v>50000</v>
      </c>
      <c r="N120" s="35">
        <f>K120*5/100</f>
        <v>86500</v>
      </c>
      <c r="O120" s="35">
        <f>K120*2*2/100</f>
        <v>69200</v>
      </c>
      <c r="P120" s="113">
        <f>P15</f>
        <v>32500</v>
      </c>
      <c r="Q120" s="36"/>
      <c r="R120" s="36">
        <v>7300</v>
      </c>
      <c r="S120" s="36">
        <v>22</v>
      </c>
      <c r="T120" s="39">
        <f>R120*S120</f>
        <v>160600</v>
      </c>
      <c r="U120" s="36"/>
      <c r="V120" s="40">
        <f t="shared" si="102"/>
        <v>2128800</v>
      </c>
      <c r="W120" s="36"/>
      <c r="X120" s="36"/>
      <c r="Y120" s="36"/>
      <c r="Z120" s="36"/>
      <c r="AA120" s="36">
        <f t="shared" si="105"/>
        <v>0</v>
      </c>
      <c r="AB120" s="36"/>
      <c r="AC120" s="36"/>
      <c r="AD120" s="36">
        <f t="shared" si="106"/>
        <v>0</v>
      </c>
      <c r="AE120" s="40"/>
      <c r="AF120" s="40">
        <f t="shared" si="107"/>
        <v>0</v>
      </c>
      <c r="AG120" s="37">
        <f t="shared" si="108"/>
        <v>7300</v>
      </c>
      <c r="AH120" s="36"/>
      <c r="AI120" s="39">
        <f t="shared" si="109"/>
        <v>0</v>
      </c>
      <c r="AJ120" s="40">
        <f>K120/22</f>
        <v>78636.363636363632</v>
      </c>
      <c r="AK120" s="36"/>
      <c r="AL120" s="36">
        <f t="shared" si="110"/>
        <v>0</v>
      </c>
      <c r="AM120" s="36"/>
      <c r="AN120" s="36"/>
      <c r="AO120" s="36">
        <f t="shared" si="111"/>
        <v>0</v>
      </c>
      <c r="AP120" s="36"/>
      <c r="AQ120" s="36"/>
      <c r="AR120" s="36">
        <f t="shared" si="112"/>
        <v>0</v>
      </c>
      <c r="AS120" s="39">
        <f t="shared" si="113"/>
        <v>0</v>
      </c>
      <c r="AT120" s="40">
        <f t="shared" si="114"/>
        <v>2128800</v>
      </c>
      <c r="AU120" s="132"/>
      <c r="AV120" s="504"/>
      <c r="AW120" s="132">
        <v>15000</v>
      </c>
      <c r="AX120" s="132"/>
      <c r="AY120" s="132"/>
      <c r="AZ120" s="504">
        <f>220000</f>
        <v>220000</v>
      </c>
      <c r="BA120" s="135">
        <f t="shared" si="115"/>
        <v>1893800</v>
      </c>
      <c r="BB120" s="132"/>
      <c r="BC120" s="504"/>
      <c r="BD120" s="132">
        <v>15000</v>
      </c>
      <c r="BE120" s="132"/>
      <c r="BF120" s="132"/>
      <c r="BG120" s="504">
        <f>220000</f>
        <v>220000</v>
      </c>
      <c r="BH120" s="135">
        <f t="shared" si="116"/>
        <v>1893800</v>
      </c>
    </row>
    <row r="121" spans="1:60" s="115" customFormat="1" x14ac:dyDescent="0.2">
      <c r="I121" s="129"/>
      <c r="L121" s="169"/>
      <c r="V121" s="40">
        <f t="shared" si="102"/>
        <v>0</v>
      </c>
      <c r="AA121" s="36">
        <f t="shared" si="105"/>
        <v>0</v>
      </c>
      <c r="AD121" s="36">
        <f t="shared" si="106"/>
        <v>0</v>
      </c>
      <c r="AF121" s="40">
        <f t="shared" si="107"/>
        <v>0</v>
      </c>
      <c r="AG121" s="37">
        <f t="shared" si="108"/>
        <v>0</v>
      </c>
      <c r="AI121" s="39">
        <f t="shared" si="109"/>
        <v>0</v>
      </c>
      <c r="AL121" s="36">
        <f t="shared" si="110"/>
        <v>0</v>
      </c>
      <c r="AS121" s="39">
        <f t="shared" si="113"/>
        <v>0</v>
      </c>
      <c r="AT121" s="40">
        <f t="shared" ref="AT121:BB121" si="142">SUM(AT4:AT120)</f>
        <v>249132336</v>
      </c>
      <c r="AU121" s="149">
        <f t="shared" si="142"/>
        <v>4050000</v>
      </c>
      <c r="AV121" s="149">
        <f t="shared" si="142"/>
        <v>30107000</v>
      </c>
      <c r="AW121" s="149">
        <f t="shared" si="142"/>
        <v>1455000</v>
      </c>
      <c r="AX121" s="149">
        <f t="shared" si="142"/>
        <v>3772516</v>
      </c>
      <c r="AY121" s="149">
        <f t="shared" si="142"/>
        <v>8900000</v>
      </c>
      <c r="AZ121" s="149">
        <f t="shared" si="142"/>
        <v>4140570</v>
      </c>
      <c r="BA121" s="137">
        <f t="shared" si="142"/>
        <v>168012850</v>
      </c>
      <c r="BB121" s="508">
        <f t="shared" si="142"/>
        <v>4350000</v>
      </c>
      <c r="BC121" s="508">
        <f t="shared" ref="BC121:BH121" si="143">SUM(BC4:BC120)</f>
        <v>31677500</v>
      </c>
      <c r="BD121" s="508">
        <f t="shared" si="143"/>
        <v>1620000</v>
      </c>
      <c r="BE121" s="508">
        <f t="shared" si="143"/>
        <v>4345387</v>
      </c>
      <c r="BF121" s="508">
        <f t="shared" si="143"/>
        <v>7000000</v>
      </c>
      <c r="BG121" s="508">
        <f t="shared" si="143"/>
        <v>4740527</v>
      </c>
      <c r="BH121" s="508">
        <f t="shared" si="143"/>
        <v>195398922</v>
      </c>
    </row>
    <row r="122" spans="1:60" x14ac:dyDescent="0.2">
      <c r="V122" s="150">
        <f>SUM(V4:V121)</f>
        <v>249058809</v>
      </c>
      <c r="AT122" s="150"/>
      <c r="BG122" s="151"/>
      <c r="BH122" s="151"/>
    </row>
    <row r="124" spans="1:60" x14ac:dyDescent="0.2">
      <c r="AW124" s="150">
        <f>AW121+AX121+AY121+AZ121</f>
        <v>18268086</v>
      </c>
      <c r="AY124" s="151">
        <f>BA121+AZ121+AY121+AX121+AW121+AV121+AU121</f>
        <v>220437936</v>
      </c>
    </row>
    <row r="127" spans="1:60" x14ac:dyDescent="0.2">
      <c r="AU127" s="150">
        <f>AV121-AV127</f>
        <v>-1341500</v>
      </c>
      <c r="AV127" s="106">
        <v>31448500</v>
      </c>
    </row>
    <row r="140" spans="15:46" x14ac:dyDescent="0.2">
      <c r="Q140" s="106">
        <v>125</v>
      </c>
    </row>
    <row r="141" spans="15:46" x14ac:dyDescent="0.2">
      <c r="Q141" s="106">
        <v>200</v>
      </c>
      <c r="U141" s="106" t="s">
        <v>308</v>
      </c>
    </row>
    <row r="142" spans="15:46" x14ac:dyDescent="0.2">
      <c r="Q142" s="106">
        <f>Q140*Q141</f>
        <v>25000</v>
      </c>
    </row>
    <row r="143" spans="15:46" x14ac:dyDescent="0.2">
      <c r="O143" s="106">
        <v>12500</v>
      </c>
      <c r="AT143" s="106">
        <v>12500</v>
      </c>
    </row>
    <row r="144" spans="15:46" x14ac:dyDescent="0.2">
      <c r="O144" s="106">
        <v>12</v>
      </c>
      <c r="AT144" s="106">
        <v>63</v>
      </c>
    </row>
    <row r="145" spans="10:49" x14ac:dyDescent="0.2">
      <c r="O145" s="106">
        <f>O143*O144</f>
        <v>150000</v>
      </c>
      <c r="U145" s="106" t="s">
        <v>309</v>
      </c>
      <c r="AT145" s="106">
        <f>AT143*AT144</f>
        <v>787500</v>
      </c>
      <c r="AW145" s="271">
        <v>10000000</v>
      </c>
    </row>
    <row r="146" spans="10:49" ht="15" x14ac:dyDescent="0.25">
      <c r="J146" s="125">
        <v>42933</v>
      </c>
      <c r="AW146" s="271">
        <v>10000000</v>
      </c>
    </row>
    <row r="147" spans="10:49" x14ac:dyDescent="0.2">
      <c r="AW147" s="271">
        <v>5300000</v>
      </c>
    </row>
    <row r="148" spans="10:49" x14ac:dyDescent="0.2">
      <c r="AW148" s="271">
        <v>4918734</v>
      </c>
    </row>
    <row r="149" spans="10:49" x14ac:dyDescent="0.2">
      <c r="AF149" s="170">
        <f>500000/22*9</f>
        <v>204545.45454545456</v>
      </c>
      <c r="AW149" s="271">
        <v>4000000</v>
      </c>
    </row>
    <row r="150" spans="10:49" x14ac:dyDescent="0.2">
      <c r="Q150" s="106">
        <v>25000</v>
      </c>
      <c r="AF150" s="170">
        <f>300000/22*9</f>
        <v>122727.27272727272</v>
      </c>
      <c r="AW150" s="271">
        <v>5590636</v>
      </c>
    </row>
    <row r="151" spans="10:49" x14ac:dyDescent="0.2">
      <c r="Q151" s="106">
        <v>6</v>
      </c>
      <c r="AW151" s="271">
        <v>7491482</v>
      </c>
    </row>
    <row r="152" spans="10:49" x14ac:dyDescent="0.2">
      <c r="Q152" s="130">
        <f>Q150*Q151</f>
        <v>150000</v>
      </c>
      <c r="AW152" s="271">
        <v>2700000</v>
      </c>
    </row>
    <row r="153" spans="10:49" x14ac:dyDescent="0.2">
      <c r="AW153" s="272">
        <f>SUM(AW145:AW152)</f>
        <v>50000852</v>
      </c>
    </row>
    <row r="155" spans="10:49" x14ac:dyDescent="0.2">
      <c r="Q155" s="106">
        <v>111</v>
      </c>
      <c r="R155" s="106">
        <v>2</v>
      </c>
      <c r="S155" s="106">
        <f>Q155*R155</f>
        <v>222</v>
      </c>
      <c r="T155" s="106">
        <v>12500</v>
      </c>
      <c r="U155" s="106">
        <f>S155*T155</f>
        <v>2775000</v>
      </c>
    </row>
    <row r="156" spans="10:49" x14ac:dyDescent="0.2">
      <c r="Q156" s="106">
        <v>109</v>
      </c>
      <c r="R156" s="106">
        <v>2</v>
      </c>
      <c r="S156" s="106">
        <f t="shared" ref="S156:S160" si="144">Q156*R156</f>
        <v>218</v>
      </c>
      <c r="T156" s="106">
        <v>12500</v>
      </c>
      <c r="U156" s="106">
        <f t="shared" ref="U156:U160" si="145">S156*T156</f>
        <v>2725000</v>
      </c>
    </row>
    <row r="157" spans="10:49" x14ac:dyDescent="0.2">
      <c r="Q157" s="106">
        <v>112</v>
      </c>
      <c r="R157" s="106">
        <v>2</v>
      </c>
      <c r="S157" s="106">
        <f t="shared" si="144"/>
        <v>224</v>
      </c>
      <c r="T157" s="106">
        <v>12500</v>
      </c>
      <c r="U157" s="106">
        <f t="shared" si="145"/>
        <v>2800000</v>
      </c>
    </row>
    <row r="158" spans="10:49" x14ac:dyDescent="0.2">
      <c r="Q158" s="106">
        <v>137</v>
      </c>
      <c r="R158" s="106">
        <v>2</v>
      </c>
      <c r="S158" s="106">
        <f t="shared" si="144"/>
        <v>274</v>
      </c>
      <c r="T158" s="106">
        <v>12500</v>
      </c>
      <c r="U158" s="106">
        <f t="shared" si="145"/>
        <v>3425000</v>
      </c>
    </row>
    <row r="159" spans="10:49" x14ac:dyDescent="0.2">
      <c r="Q159" s="106">
        <v>110</v>
      </c>
      <c r="R159" s="106">
        <v>2</v>
      </c>
      <c r="S159" s="106">
        <f t="shared" si="144"/>
        <v>220</v>
      </c>
      <c r="T159" s="106">
        <v>12500</v>
      </c>
      <c r="U159" s="106">
        <f t="shared" si="145"/>
        <v>2750000</v>
      </c>
    </row>
    <row r="160" spans="10:49" x14ac:dyDescent="0.2">
      <c r="Q160" s="106">
        <v>132</v>
      </c>
      <c r="R160" s="106">
        <v>2</v>
      </c>
      <c r="S160" s="106">
        <f t="shared" si="144"/>
        <v>264</v>
      </c>
      <c r="T160" s="106">
        <v>12500</v>
      </c>
      <c r="U160" s="106">
        <f t="shared" si="145"/>
        <v>3300000</v>
      </c>
    </row>
    <row r="161" spans="12:50" x14ac:dyDescent="0.2">
      <c r="U161" s="130">
        <f>SUM(U155:U160)</f>
        <v>17775000</v>
      </c>
    </row>
    <row r="166" spans="12:50" x14ac:dyDescent="0.2">
      <c r="AL166" s="106">
        <v>5000</v>
      </c>
    </row>
    <row r="167" spans="12:50" x14ac:dyDescent="0.2">
      <c r="AX167" s="130"/>
    </row>
    <row r="168" spans="12:50" x14ac:dyDescent="0.2">
      <c r="AI168" s="106">
        <v>70</v>
      </c>
    </row>
    <row r="169" spans="12:50" x14ac:dyDescent="0.2">
      <c r="L169" s="106">
        <v>32</v>
      </c>
      <c r="M169" s="106">
        <v>124</v>
      </c>
      <c r="AI169" s="106">
        <v>30</v>
      </c>
    </row>
    <row r="170" spans="12:50" x14ac:dyDescent="0.2">
      <c r="L170" s="106">
        <v>70</v>
      </c>
      <c r="M170" s="106">
        <v>490</v>
      </c>
      <c r="AI170" s="106">
        <v>260</v>
      </c>
      <c r="AX170" s="106">
        <v>6</v>
      </c>
    </row>
    <row r="171" spans="12:50" x14ac:dyDescent="0.2">
      <c r="L171" s="106">
        <v>10</v>
      </c>
      <c r="M171" s="106">
        <v>460</v>
      </c>
      <c r="V171" s="106">
        <v>600000</v>
      </c>
      <c r="AI171" s="106">
        <v>20</v>
      </c>
    </row>
    <row r="172" spans="12:50" x14ac:dyDescent="0.2">
      <c r="L172" s="106">
        <v>35</v>
      </c>
      <c r="M172" s="106">
        <f>SUM(M169:M171)</f>
        <v>1074</v>
      </c>
      <c r="Q172" s="106">
        <v>12500</v>
      </c>
      <c r="V172" s="106">
        <v>22</v>
      </c>
      <c r="AI172" s="106">
        <v>15</v>
      </c>
    </row>
    <row r="173" spans="12:50" x14ac:dyDescent="0.2">
      <c r="L173" s="106">
        <v>8</v>
      </c>
      <c r="Q173" s="106">
        <v>62</v>
      </c>
      <c r="AI173" s="106">
        <v>15</v>
      </c>
    </row>
    <row r="174" spans="12:50" x14ac:dyDescent="0.2">
      <c r="L174" s="106">
        <v>245</v>
      </c>
      <c r="Q174" s="106">
        <f>Q172*Q173</f>
        <v>775000</v>
      </c>
      <c r="V174" s="173">
        <f>V171/V172</f>
        <v>27272.727272727272</v>
      </c>
      <c r="AI174" s="106">
        <v>50</v>
      </c>
    </row>
    <row r="175" spans="12:50" x14ac:dyDescent="0.2">
      <c r="L175" s="106">
        <f>SUM(L169:L174)</f>
        <v>400</v>
      </c>
      <c r="AI175" s="106">
        <f>SUM(AI168:AI174)</f>
        <v>460</v>
      </c>
    </row>
    <row r="176" spans="12:50" x14ac:dyDescent="0.2">
      <c r="V176" s="106">
        <v>300000</v>
      </c>
    </row>
    <row r="177" spans="22:51" x14ac:dyDescent="0.2">
      <c r="V177" s="106">
        <f>V176/V172</f>
        <v>13636.363636363636</v>
      </c>
    </row>
    <row r="185" spans="22:51" x14ac:dyDescent="0.2">
      <c r="AY185" s="130">
        <v>300000000</v>
      </c>
    </row>
    <row r="186" spans="22:51" x14ac:dyDescent="0.2">
      <c r="AA186" s="106">
        <v>16</v>
      </c>
      <c r="AY186" s="130"/>
    </row>
    <row r="187" spans="22:51" x14ac:dyDescent="0.2">
      <c r="AA187" s="106">
        <v>26</v>
      </c>
      <c r="AY187" s="130"/>
    </row>
    <row r="188" spans="22:51" x14ac:dyDescent="0.2">
      <c r="AA188" s="106">
        <f>SUM(AA186:AA187)</f>
        <v>42</v>
      </c>
      <c r="AY188" s="130">
        <v>245012000</v>
      </c>
    </row>
    <row r="189" spans="22:51" x14ac:dyDescent="0.2">
      <c r="AY189" s="130">
        <v>20000000</v>
      </c>
    </row>
    <row r="190" spans="22:51" x14ac:dyDescent="0.2">
      <c r="AY190" s="130">
        <v>400000</v>
      </c>
    </row>
    <row r="191" spans="22:51" x14ac:dyDescent="0.2">
      <c r="AY191" s="130">
        <v>30000000</v>
      </c>
    </row>
    <row r="192" spans="22:51" x14ac:dyDescent="0.2">
      <c r="AY192" s="130">
        <v>1000000</v>
      </c>
    </row>
    <row r="193" spans="51:51" x14ac:dyDescent="0.2">
      <c r="AY193" s="130">
        <f>SUM(AY188:AY192)</f>
        <v>296412000</v>
      </c>
    </row>
    <row r="194" spans="51:51" x14ac:dyDescent="0.2">
      <c r="AY194" s="130"/>
    </row>
    <row r="195" spans="51:51" x14ac:dyDescent="0.2">
      <c r="AY195" s="151">
        <f>AY185-AY193</f>
        <v>3588000</v>
      </c>
    </row>
  </sheetData>
  <phoneticPr fontId="51" type="noConversion"/>
  <hyperlinks>
    <hyperlink ref="I38" r:id="rId1" xr:uid="{11F0305B-58DA-491C-83E5-FBE01C8BFA6C}"/>
    <hyperlink ref="I30" r:id="rId2" xr:uid="{06922C1D-23F3-4022-97FB-A314DE179A6A}"/>
    <hyperlink ref="I21" r:id="rId3" xr:uid="{DE41ABCC-DA3B-495A-BA95-5AB6F9E8293C}"/>
    <hyperlink ref="I82" r:id="rId4" xr:uid="{43A81705-7735-4353-BB79-DBEE658EFE36}"/>
  </hyperlinks>
  <pageMargins left="0.7" right="0.7" top="0.75" bottom="0.75" header="0.3" footer="0.3"/>
  <pageSetup paperSize="9" orientation="portrait"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2"/>
  <sheetViews>
    <sheetView zoomScale="90" zoomScaleNormal="90" workbookViewId="0">
      <selection activeCell="N1" sqref="N1:O1"/>
    </sheetView>
  </sheetViews>
  <sheetFormatPr defaultRowHeight="15" x14ac:dyDescent="0.25"/>
  <cols>
    <col min="1" max="1" width="4.42578125" customWidth="1"/>
    <col min="2" max="2" width="24" bestFit="1" customWidth="1"/>
    <col min="3" max="3" width="24" customWidth="1"/>
    <col min="4" max="4" width="11.5703125" customWidth="1"/>
    <col min="5" max="5" width="11.28515625" customWidth="1"/>
    <col min="6" max="6" width="12.7109375" customWidth="1"/>
    <col min="7" max="7" width="12.28515625" customWidth="1"/>
    <col min="8" max="8" width="9.140625" customWidth="1"/>
    <col min="9" max="9" width="14.28515625" customWidth="1"/>
    <col min="10" max="10" width="10.5703125" customWidth="1"/>
    <col min="11" max="12" width="11" customWidth="1"/>
    <col min="13" max="13" width="7.42578125" customWidth="1"/>
    <col min="14" max="14" width="11" customWidth="1"/>
    <col min="15" max="15" width="12.5703125" customWidth="1"/>
    <col min="16" max="16" width="15.7109375" customWidth="1"/>
  </cols>
  <sheetData>
    <row r="1" spans="1:16" ht="15.75" x14ac:dyDescent="0.25">
      <c r="A1" s="543" t="s">
        <v>120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4" t="s">
        <v>488</v>
      </c>
      <c r="O1" s="544"/>
    </row>
    <row r="2" spans="1:16" ht="15.75" x14ac:dyDescent="0.25">
      <c r="A2" s="543" t="s">
        <v>487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156"/>
      <c r="O2" s="156"/>
      <c r="P2" s="3"/>
    </row>
    <row r="3" spans="1:16" x14ac:dyDescent="0.25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spans="1:16" ht="37.5" customHeight="1" x14ac:dyDescent="0.25">
      <c r="A4" s="6" t="s">
        <v>0</v>
      </c>
      <c r="B4" s="6" t="s">
        <v>1</v>
      </c>
      <c r="C4" s="6" t="s">
        <v>3</v>
      </c>
      <c r="D4" s="9" t="s">
        <v>7</v>
      </c>
      <c r="E4" s="6" t="s">
        <v>8</v>
      </c>
      <c r="F4" s="6" t="s">
        <v>84</v>
      </c>
      <c r="G4" s="6" t="s">
        <v>9</v>
      </c>
      <c r="H4" s="6" t="s">
        <v>10</v>
      </c>
      <c r="I4" s="6" t="s">
        <v>11</v>
      </c>
      <c r="J4" s="6" t="s">
        <v>13</v>
      </c>
      <c r="K4" s="6" t="s">
        <v>83</v>
      </c>
      <c r="L4" s="6" t="s">
        <v>486</v>
      </c>
      <c r="M4" s="6" t="s">
        <v>25</v>
      </c>
      <c r="N4" s="6" t="s">
        <v>124</v>
      </c>
      <c r="O4" s="6" t="s">
        <v>15</v>
      </c>
      <c r="P4" s="4"/>
    </row>
    <row r="5" spans="1:16" ht="22.5" customHeight="1" x14ac:dyDescent="0.25">
      <c r="A5" s="66">
        <f>ALL!B4</f>
        <v>1</v>
      </c>
      <c r="B5" s="13" t="str">
        <f>ALL!C4</f>
        <v>Siti Latifah</v>
      </c>
      <c r="C5" s="122" t="s">
        <v>271</v>
      </c>
      <c r="D5" s="67">
        <f>ALL!K4</f>
        <v>1280000</v>
      </c>
      <c r="E5" s="67">
        <f>ALL!L4</f>
        <v>500000</v>
      </c>
      <c r="F5" s="67">
        <f>ALL!M4</f>
        <v>150000</v>
      </c>
      <c r="G5" s="67">
        <f>ALL!N4</f>
        <v>64000</v>
      </c>
      <c r="H5" s="67">
        <f>ALL!O4</f>
        <v>25600</v>
      </c>
      <c r="I5" s="67">
        <f>ALL!P4</f>
        <v>32500</v>
      </c>
      <c r="J5" s="12">
        <f>ALL!T4</f>
        <v>81400</v>
      </c>
      <c r="K5" s="67">
        <f>ALL!Q4</f>
        <v>0</v>
      </c>
      <c r="L5" s="67">
        <f>ALL!U4</f>
        <v>0</v>
      </c>
      <c r="M5" s="67">
        <f>ALL!AF4</f>
        <v>0</v>
      </c>
      <c r="N5" s="67">
        <f>ALL!AS4</f>
        <v>0</v>
      </c>
      <c r="O5" s="67">
        <f>ALL!AT4</f>
        <v>2133500</v>
      </c>
      <c r="P5" s="5"/>
    </row>
    <row r="6" spans="1:16" ht="21" customHeight="1" x14ac:dyDescent="0.25">
      <c r="A6" s="66">
        <f>ALL!B5</f>
        <v>2</v>
      </c>
      <c r="B6" s="13" t="str">
        <f>ALL!C5</f>
        <v>Ulwiyatur Rif'ah, S.E</v>
      </c>
      <c r="C6" s="122" t="s">
        <v>272</v>
      </c>
      <c r="D6" s="67">
        <f>ALL!K5</f>
        <v>1730000</v>
      </c>
      <c r="E6" s="67">
        <f>ALL!L5</f>
        <v>500000</v>
      </c>
      <c r="F6" s="67">
        <f>ALL!M5</f>
        <v>100000</v>
      </c>
      <c r="G6" s="67">
        <f>ALL!N5</f>
        <v>0</v>
      </c>
      <c r="H6" s="67">
        <f>ALL!O5</f>
        <v>0</v>
      </c>
      <c r="I6" s="67">
        <f>ALL!P5</f>
        <v>32500</v>
      </c>
      <c r="J6" s="12">
        <f>ALL!T5</f>
        <v>160600</v>
      </c>
      <c r="K6" s="67">
        <f>ALL!Q5</f>
        <v>0</v>
      </c>
      <c r="L6" s="67">
        <f>ALL!U5</f>
        <v>0</v>
      </c>
      <c r="M6" s="67">
        <f>ALL!AF5</f>
        <v>0</v>
      </c>
      <c r="N6" s="67">
        <f>ALL!AS5</f>
        <v>0</v>
      </c>
      <c r="O6" s="67">
        <f>ALL!AT5</f>
        <v>2523100</v>
      </c>
      <c r="P6" s="5"/>
    </row>
    <row r="7" spans="1:16" ht="24.75" customHeight="1" x14ac:dyDescent="0.25">
      <c r="A7" s="66">
        <f>ALL!B6</f>
        <v>3</v>
      </c>
      <c r="B7" s="13" t="str">
        <f>ALL!C6</f>
        <v>Rini Shohihah, S.E</v>
      </c>
      <c r="C7" s="122" t="s">
        <v>273</v>
      </c>
      <c r="D7" s="67">
        <f>ALL!K6</f>
        <v>1730000</v>
      </c>
      <c r="E7" s="67">
        <f>ALL!L6</f>
        <v>300000</v>
      </c>
      <c r="F7" s="67">
        <f>ALL!M6</f>
        <v>100000</v>
      </c>
      <c r="G7" s="67">
        <f>ALL!N6</f>
        <v>86500</v>
      </c>
      <c r="H7" s="67">
        <f>ALL!O6</f>
        <v>34600</v>
      </c>
      <c r="I7" s="67">
        <f>ALL!P6</f>
        <v>32500</v>
      </c>
      <c r="J7" s="12">
        <f>ALL!T6</f>
        <v>81400</v>
      </c>
      <c r="K7" s="67">
        <f>ALL!Q6</f>
        <v>0</v>
      </c>
      <c r="L7" s="67">
        <f>ALL!U6</f>
        <v>0</v>
      </c>
      <c r="M7" s="67">
        <f>ALL!AF6</f>
        <v>0</v>
      </c>
      <c r="N7" s="67">
        <f>ALL!AS6</f>
        <v>0</v>
      </c>
      <c r="O7" s="67">
        <f>ALL!AT6</f>
        <v>2365000</v>
      </c>
      <c r="P7" s="5"/>
    </row>
    <row r="8" spans="1:16" ht="21" customHeight="1" x14ac:dyDescent="0.25">
      <c r="A8" s="66">
        <f>ALL!B7</f>
        <v>4</v>
      </c>
      <c r="B8" s="13" t="str">
        <f>ALL!C7</f>
        <v>Winda Zuliyaningsih</v>
      </c>
      <c r="C8" s="13"/>
      <c r="D8" s="67">
        <f>ALL!K7</f>
        <v>1280000</v>
      </c>
      <c r="E8" s="67">
        <f>ALL!L7</f>
        <v>0</v>
      </c>
      <c r="F8" s="67">
        <f>ALL!M7</f>
        <v>50000</v>
      </c>
      <c r="G8" s="67">
        <f>ALL!N7</f>
        <v>64000</v>
      </c>
      <c r="H8" s="67">
        <f>ALL!O7</f>
        <v>25600</v>
      </c>
      <c r="I8" s="67">
        <f>ALL!P7</f>
        <v>32500</v>
      </c>
      <c r="J8" s="12">
        <f>ALL!T7</f>
        <v>160600</v>
      </c>
      <c r="K8" s="67">
        <f>ALL!Q7</f>
        <v>0</v>
      </c>
      <c r="L8" s="67">
        <f>ALL!U7</f>
        <v>0</v>
      </c>
      <c r="M8" s="67">
        <f>ALL!AF7</f>
        <v>0</v>
      </c>
      <c r="N8" s="67">
        <f>ALL!AS7</f>
        <v>0</v>
      </c>
      <c r="O8" s="67">
        <f>ALL!AT7</f>
        <v>1612700</v>
      </c>
      <c r="P8" s="5"/>
    </row>
    <row r="9" spans="1:16" ht="21" customHeight="1" x14ac:dyDescent="0.25">
      <c r="A9" s="66">
        <f>ALL!B8</f>
        <v>5</v>
      </c>
      <c r="B9" s="13" t="str">
        <f>ALL!C8</f>
        <v>Nawan Riyan Zufar, S.Pd.</v>
      </c>
      <c r="C9" s="122" t="s">
        <v>274</v>
      </c>
      <c r="D9" s="67">
        <f>ALL!K8</f>
        <v>1730000</v>
      </c>
      <c r="E9" s="67">
        <f>ALL!L8</f>
        <v>700000</v>
      </c>
      <c r="F9" s="67">
        <f>ALL!M8</f>
        <v>50000</v>
      </c>
      <c r="G9" s="67">
        <f>ALL!N8</f>
        <v>86500</v>
      </c>
      <c r="H9" s="67">
        <f>ALL!O8</f>
        <v>34600</v>
      </c>
      <c r="I9" s="67">
        <f>ALL!P8</f>
        <v>32500</v>
      </c>
      <c r="J9" s="12">
        <f>ALL!T8</f>
        <v>286000</v>
      </c>
      <c r="K9" s="67">
        <f>ALL!Q8</f>
        <v>0</v>
      </c>
      <c r="L9" s="67">
        <f>ALL!U8</f>
        <v>400000</v>
      </c>
      <c r="M9" s="67">
        <f>ALL!AF8</f>
        <v>0</v>
      </c>
      <c r="N9" s="67">
        <f>ALL!AS8</f>
        <v>0</v>
      </c>
      <c r="O9" s="67">
        <f>ALL!AT8</f>
        <v>3319600</v>
      </c>
      <c r="P9" s="5"/>
    </row>
    <row r="10" spans="1:16" ht="23.25" customHeight="1" x14ac:dyDescent="0.25">
      <c r="A10" s="66">
        <f>ALL!B9</f>
        <v>6</v>
      </c>
      <c r="B10" s="13" t="str">
        <f>ALL!C9</f>
        <v>Rona Faroni, S.Kom</v>
      </c>
      <c r="C10" s="122" t="s">
        <v>275</v>
      </c>
      <c r="D10" s="67">
        <f>ALL!K9</f>
        <v>1730000</v>
      </c>
      <c r="E10" s="67">
        <f>ALL!L9</f>
        <v>300000</v>
      </c>
      <c r="F10" s="67">
        <f>ALL!M9</f>
        <v>50000</v>
      </c>
      <c r="G10" s="67">
        <f>ALL!N9</f>
        <v>0</v>
      </c>
      <c r="H10" s="67">
        <f>ALL!O9</f>
        <v>0</v>
      </c>
      <c r="I10" s="67">
        <f>ALL!P9</f>
        <v>32500</v>
      </c>
      <c r="J10" s="12">
        <f>ALL!T9</f>
        <v>286000</v>
      </c>
      <c r="K10" s="67">
        <f>ALL!Q9</f>
        <v>0</v>
      </c>
      <c r="L10" s="67">
        <f>ALL!U9</f>
        <v>0</v>
      </c>
      <c r="M10" s="67">
        <f>ALL!AF9</f>
        <v>0</v>
      </c>
      <c r="N10" s="67">
        <f>ALL!AS9</f>
        <v>0</v>
      </c>
      <c r="O10" s="67">
        <f>ALL!AT9</f>
        <v>2398500</v>
      </c>
      <c r="P10" s="5"/>
    </row>
    <row r="11" spans="1:16" ht="22.5" customHeight="1" x14ac:dyDescent="0.25">
      <c r="A11" s="66">
        <f>ALL!B10</f>
        <v>7</v>
      </c>
      <c r="B11" s="13" t="str">
        <f>ALL!C10</f>
        <v>Aufal Hadaya, M.Pd</v>
      </c>
      <c r="C11" s="122" t="s">
        <v>276</v>
      </c>
      <c r="D11" s="67">
        <f>ALL!K10</f>
        <v>1830000</v>
      </c>
      <c r="E11" s="67">
        <f>ALL!L10</f>
        <v>500000</v>
      </c>
      <c r="F11" s="67">
        <f>ALL!M10</f>
        <v>50000</v>
      </c>
      <c r="G11" s="67">
        <f>ALL!N10</f>
        <v>91500</v>
      </c>
      <c r="H11" s="67">
        <f>ALL!O10</f>
        <v>36600</v>
      </c>
      <c r="I11" s="67">
        <f>ALL!P10</f>
        <v>32500</v>
      </c>
      <c r="J11" s="12">
        <f>ALL!T10</f>
        <v>200200</v>
      </c>
      <c r="K11" s="67">
        <f>ALL!Q10</f>
        <v>0</v>
      </c>
      <c r="L11" s="67">
        <f>ALL!U10</f>
        <v>0</v>
      </c>
      <c r="M11" s="67">
        <f>ALL!AF10</f>
        <v>0</v>
      </c>
      <c r="N11" s="67">
        <f>ALL!AS10</f>
        <v>0</v>
      </c>
      <c r="O11" s="67">
        <f>ALL!AT10</f>
        <v>2740800</v>
      </c>
      <c r="P11" s="5"/>
    </row>
    <row r="12" spans="1:16" x14ac:dyDescent="0.25">
      <c r="A12" s="68"/>
      <c r="B12" s="68"/>
      <c r="C12" s="68"/>
      <c r="D12" s="68"/>
      <c r="E12" s="68"/>
      <c r="F12" s="69"/>
      <c r="G12" s="68"/>
      <c r="H12" s="68"/>
      <c r="I12" s="68"/>
      <c r="J12" s="68"/>
      <c r="K12" s="69"/>
      <c r="L12" s="69"/>
      <c r="M12" s="69"/>
      <c r="N12" s="69"/>
      <c r="O12" s="70">
        <f>SUM(O5:O11)</f>
        <v>17093200</v>
      </c>
    </row>
    <row r="13" spans="1:16" x14ac:dyDescent="0.25">
      <c r="A13" s="52"/>
      <c r="B13" s="52"/>
      <c r="C13" s="52"/>
      <c r="D13" s="52"/>
      <c r="E13" s="52"/>
      <c r="F13" s="71"/>
      <c r="G13" s="52"/>
      <c r="H13" s="52"/>
      <c r="I13" s="52"/>
      <c r="J13" s="52"/>
      <c r="K13" s="71"/>
      <c r="L13" s="71"/>
      <c r="M13" s="71"/>
      <c r="N13" s="71"/>
      <c r="O13" s="72"/>
    </row>
    <row r="14" spans="1:16" x14ac:dyDescent="0.25">
      <c r="A14" s="48"/>
      <c r="B14" s="48"/>
      <c r="C14" s="48"/>
      <c r="D14" s="48"/>
      <c r="E14" s="48"/>
      <c r="F14" s="73"/>
      <c r="G14" s="48"/>
      <c r="H14" s="48"/>
      <c r="I14" s="48"/>
      <c r="J14" s="48"/>
      <c r="K14" s="512" t="s">
        <v>489</v>
      </c>
      <c r="L14" s="316"/>
      <c r="M14" s="48"/>
      <c r="N14" s="48"/>
      <c r="O14" s="48"/>
    </row>
    <row r="15" spans="1:16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162" t="s">
        <v>326</v>
      </c>
      <c r="L15" s="162"/>
      <c r="M15" s="48"/>
      <c r="N15" s="48"/>
      <c r="O15" s="48"/>
    </row>
    <row r="16" spans="1:16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162" t="s">
        <v>325</v>
      </c>
      <c r="L16" s="162"/>
      <c r="M16" s="48"/>
      <c r="N16" s="48"/>
      <c r="O16" s="48"/>
    </row>
    <row r="17" spans="1:15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162"/>
      <c r="L17" s="162"/>
      <c r="M17" s="48"/>
      <c r="N17" s="48"/>
      <c r="O17" s="48"/>
    </row>
    <row r="18" spans="1:15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162"/>
      <c r="L18" s="162"/>
      <c r="M18" s="48"/>
      <c r="N18" s="48"/>
      <c r="O18" s="48"/>
    </row>
    <row r="19" spans="1:1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163" t="s">
        <v>107</v>
      </c>
      <c r="L19" s="163"/>
      <c r="M19" s="48"/>
      <c r="N19" s="48"/>
      <c r="O19" s="48"/>
    </row>
    <row r="20" spans="1:15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162"/>
      <c r="L20" s="162"/>
      <c r="M20" s="48"/>
      <c r="N20" s="48"/>
      <c r="O20" s="48"/>
    </row>
    <row r="21" spans="1:15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162" t="s">
        <v>323</v>
      </c>
      <c r="L21" s="162"/>
      <c r="M21" s="48"/>
      <c r="N21" s="48"/>
      <c r="O21" s="48"/>
    </row>
    <row r="22" spans="1:15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162" t="s">
        <v>322</v>
      </c>
      <c r="L22" s="162"/>
      <c r="M22" s="48"/>
      <c r="N22" s="48"/>
      <c r="O22" s="48"/>
    </row>
    <row r="23" spans="1:15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162"/>
      <c r="L23" s="162"/>
      <c r="M23" s="48"/>
      <c r="N23" s="48"/>
      <c r="O23" s="48"/>
    </row>
    <row r="24" spans="1:15" x14ac:dyDescent="0.25">
      <c r="K24" s="162"/>
      <c r="L24" s="162"/>
    </row>
    <row r="25" spans="1:15" x14ac:dyDescent="0.25">
      <c r="K25" s="163" t="s">
        <v>106</v>
      </c>
      <c r="L25" s="163"/>
    </row>
    <row r="26" spans="1:15" x14ac:dyDescent="0.25">
      <c r="K26" s="82"/>
      <c r="L26" s="82"/>
    </row>
    <row r="27" spans="1:15" x14ac:dyDescent="0.25">
      <c r="K27" s="162" t="s">
        <v>324</v>
      </c>
      <c r="L27" s="162"/>
    </row>
    <row r="28" spans="1:15" x14ac:dyDescent="0.25">
      <c r="K28" s="162" t="s">
        <v>121</v>
      </c>
      <c r="L28" s="162"/>
    </row>
    <row r="29" spans="1:15" x14ac:dyDescent="0.25">
      <c r="K29" s="162"/>
      <c r="L29" s="162"/>
    </row>
    <row r="30" spans="1:15" x14ac:dyDescent="0.25">
      <c r="K30" s="162"/>
      <c r="L30" s="162"/>
    </row>
    <row r="31" spans="1:15" x14ac:dyDescent="0.25">
      <c r="K31" s="163" t="s">
        <v>327</v>
      </c>
      <c r="L31" s="163"/>
    </row>
    <row r="47" spans="14:14" x14ac:dyDescent="0.25">
      <c r="N47">
        <v>22474452</v>
      </c>
    </row>
    <row r="48" spans="14:14" x14ac:dyDescent="0.25">
      <c r="N48">
        <v>3</v>
      </c>
    </row>
    <row r="49" spans="9:15" x14ac:dyDescent="0.25">
      <c r="N49">
        <f>N47/N48</f>
        <v>7491484</v>
      </c>
      <c r="O49">
        <v>5570413</v>
      </c>
    </row>
    <row r="50" spans="9:15" x14ac:dyDescent="0.25">
      <c r="I50" s="1">
        <v>9000000000</v>
      </c>
      <c r="O50">
        <f>N49+O49</f>
        <v>13061897</v>
      </c>
    </row>
    <row r="51" spans="9:15" x14ac:dyDescent="0.25">
      <c r="I51">
        <v>750</v>
      </c>
    </row>
    <row r="52" spans="9:15" x14ac:dyDescent="0.25">
      <c r="I52" s="2">
        <f>I50/I51</f>
        <v>12000000</v>
      </c>
    </row>
  </sheetData>
  <mergeCells count="3">
    <mergeCell ref="A1:M1"/>
    <mergeCell ref="A2:M2"/>
    <mergeCell ref="N1:O1"/>
  </mergeCells>
  <printOptions horizontalCentered="1"/>
  <pageMargins left="0.23622047244094491" right="0.23622047244094491" top="0.74803149606299213" bottom="0.74803149606299213" header="0.31496062992125984" footer="0.31496062992125984"/>
  <pageSetup paperSize="10000" scale="80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71"/>
  <sheetViews>
    <sheetView zoomScale="90" zoomScaleNormal="90" workbookViewId="0">
      <pane xSplit="7" ySplit="4" topLeftCell="H47" activePane="bottomRight" state="frozen"/>
      <selection pane="topRight" activeCell="H1" sqref="H1"/>
      <selection pane="bottomLeft" activeCell="A4" sqref="A4"/>
      <selection pane="bottomRight" activeCell="P55" sqref="P55"/>
    </sheetView>
  </sheetViews>
  <sheetFormatPr defaultRowHeight="15" x14ac:dyDescent="0.25"/>
  <cols>
    <col min="1" max="1" width="4.7109375" customWidth="1"/>
    <col min="2" max="2" width="28.28515625" customWidth="1"/>
    <col min="3" max="3" width="9.140625" hidden="1" customWidth="1"/>
    <col min="4" max="4" width="30.42578125" hidden="1" customWidth="1"/>
    <col min="5" max="6" width="9.140625" hidden="1" customWidth="1"/>
    <col min="7" max="7" width="5.7109375" hidden="1" customWidth="1"/>
    <col min="8" max="8" width="14.5703125" bestFit="1" customWidth="1"/>
    <col min="9" max="9" width="12.28515625" bestFit="1" customWidth="1"/>
    <col min="10" max="10" width="12.28515625" style="1" bestFit="1" customWidth="1"/>
    <col min="11" max="11" width="12" style="1" customWidth="1"/>
    <col min="12" max="13" width="11" customWidth="1"/>
    <col min="14" max="14" width="12.28515625" bestFit="1" customWidth="1"/>
    <col min="15" max="15" width="14.140625" customWidth="1"/>
    <col min="16" max="18" width="9.85546875" style="1" customWidth="1"/>
    <col min="19" max="19" width="15.5703125" customWidth="1"/>
  </cols>
  <sheetData>
    <row r="1" spans="1:19" ht="15.75" x14ac:dyDescent="0.25">
      <c r="A1" s="543" t="s">
        <v>120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R1" s="544" t="s">
        <v>488</v>
      </c>
      <c r="S1" s="544"/>
    </row>
    <row r="2" spans="1:19" ht="15.75" x14ac:dyDescent="0.25">
      <c r="A2" s="543" t="s">
        <v>490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156"/>
      <c r="S2" s="156"/>
    </row>
    <row r="3" spans="1:19" x14ac:dyDescent="0.25">
      <c r="A3" s="48"/>
      <c r="B3" s="48"/>
      <c r="C3" s="48"/>
      <c r="D3" s="48"/>
      <c r="E3" s="48"/>
      <c r="F3" s="48"/>
      <c r="G3" s="48"/>
      <c r="H3" s="48"/>
      <c r="I3" s="48"/>
      <c r="J3" s="64"/>
      <c r="K3" s="64"/>
      <c r="L3" s="48"/>
      <c r="M3" s="48"/>
      <c r="N3" s="48"/>
      <c r="O3" s="48"/>
      <c r="P3" s="64"/>
      <c r="Q3" s="64"/>
      <c r="R3" s="64"/>
      <c r="S3" s="48"/>
    </row>
    <row r="4" spans="1:19" ht="43.5" customHeight="1" x14ac:dyDescent="0.25">
      <c r="A4" s="6" t="s">
        <v>0</v>
      </c>
      <c r="B4" s="6" t="s">
        <v>115</v>
      </c>
      <c r="C4" s="6" t="s">
        <v>2</v>
      </c>
      <c r="D4" s="6" t="s">
        <v>3</v>
      </c>
      <c r="E4" s="8" t="s">
        <v>4</v>
      </c>
      <c r="F4" s="8" t="s">
        <v>5</v>
      </c>
      <c r="G4" s="8" t="s">
        <v>6</v>
      </c>
      <c r="H4" s="9" t="s">
        <v>7</v>
      </c>
      <c r="I4" s="6" t="s">
        <v>8</v>
      </c>
      <c r="J4" s="74" t="s">
        <v>84</v>
      </c>
      <c r="K4" s="10" t="s">
        <v>9</v>
      </c>
      <c r="L4" s="6" t="s">
        <v>10</v>
      </c>
      <c r="M4" s="6" t="s">
        <v>11</v>
      </c>
      <c r="N4" s="6" t="s">
        <v>13</v>
      </c>
      <c r="O4" s="6" t="s">
        <v>14</v>
      </c>
      <c r="P4" s="11" t="s">
        <v>116</v>
      </c>
      <c r="Q4" s="10" t="s">
        <v>25</v>
      </c>
      <c r="R4" s="10" t="s">
        <v>125</v>
      </c>
      <c r="S4" s="6" t="s">
        <v>15</v>
      </c>
    </row>
    <row r="5" spans="1:19" x14ac:dyDescent="0.25">
      <c r="A5" s="23">
        <v>1</v>
      </c>
      <c r="B5" s="24" t="str">
        <f>ALL!C11</f>
        <v>Edi Susilo, S. Pd. I</v>
      </c>
      <c r="C5" s="24"/>
      <c r="D5" s="24" t="s">
        <v>40</v>
      </c>
      <c r="E5" s="43">
        <v>28</v>
      </c>
      <c r="F5" s="43"/>
      <c r="G5" s="43"/>
      <c r="H5" s="44">
        <f>ALL!K11</f>
        <v>1730000</v>
      </c>
      <c r="I5" s="44">
        <f>ALL!L11</f>
        <v>1250000</v>
      </c>
      <c r="J5" s="45">
        <f>ALL!M11</f>
        <v>150000</v>
      </c>
      <c r="K5" s="45">
        <f>ALL!N11</f>
        <v>86500</v>
      </c>
      <c r="L5" s="44">
        <f>ALL!O11</f>
        <v>69200</v>
      </c>
      <c r="M5" s="44">
        <f>ALL!P11</f>
        <v>32500</v>
      </c>
      <c r="N5" s="12">
        <f>ALL!T11</f>
        <v>286000</v>
      </c>
      <c r="O5" s="44">
        <f>ALL!U11</f>
        <v>0</v>
      </c>
      <c r="P5" s="46">
        <f>ALL!Q11</f>
        <v>0</v>
      </c>
      <c r="Q5" s="46">
        <f>ALL!AF11</f>
        <v>0</v>
      </c>
      <c r="R5" s="46">
        <f>ALL!AS11</f>
        <v>0</v>
      </c>
      <c r="S5" s="47">
        <f>ALL!AT11</f>
        <v>3604200</v>
      </c>
    </row>
    <row r="6" spans="1:19" x14ac:dyDescent="0.25">
      <c r="A6" s="23">
        <v>2</v>
      </c>
      <c r="B6" s="24" t="str">
        <f>ALL!C12</f>
        <v xml:space="preserve">Khoiril Anam, M.Pd. </v>
      </c>
      <c r="C6" s="24"/>
      <c r="D6" s="24" t="s">
        <v>40</v>
      </c>
      <c r="E6" s="43">
        <v>29</v>
      </c>
      <c r="F6" s="43"/>
      <c r="G6" s="43"/>
      <c r="H6" s="44">
        <f>ALL!K12</f>
        <v>1830000</v>
      </c>
      <c r="I6" s="44">
        <f>ALL!L12</f>
        <v>700000</v>
      </c>
      <c r="J6" s="45">
        <f>ALL!M12</f>
        <v>50000</v>
      </c>
      <c r="K6" s="45">
        <f>ALL!N12</f>
        <v>0</v>
      </c>
      <c r="L6" s="44">
        <f>ALL!O12</f>
        <v>0</v>
      </c>
      <c r="M6" s="44">
        <f>ALL!P12</f>
        <v>0</v>
      </c>
      <c r="N6" s="12">
        <f>ALL!T12</f>
        <v>286000</v>
      </c>
      <c r="O6" s="44">
        <f>ALL!U12</f>
        <v>0</v>
      </c>
      <c r="P6" s="46">
        <f>ALL!Q12</f>
        <v>0</v>
      </c>
      <c r="Q6" s="46">
        <f>ALL!AF12</f>
        <v>0</v>
      </c>
      <c r="R6" s="46">
        <f>ALL!AS12</f>
        <v>0</v>
      </c>
      <c r="S6" s="47">
        <f>ALL!AT12</f>
        <v>2866000</v>
      </c>
    </row>
    <row r="7" spans="1:19" ht="15" customHeight="1" x14ac:dyDescent="0.25">
      <c r="A7" s="23">
        <v>3</v>
      </c>
      <c r="B7" s="24" t="str">
        <f>ALL!C13</f>
        <v xml:space="preserve">Mariatul Qibityah, S.Pd. </v>
      </c>
      <c r="C7" s="24"/>
      <c r="D7" s="24" t="s">
        <v>40</v>
      </c>
      <c r="E7" s="43">
        <v>30</v>
      </c>
      <c r="F7" s="43"/>
      <c r="G7" s="43"/>
      <c r="H7" s="44">
        <f>ALL!K13</f>
        <v>1730000</v>
      </c>
      <c r="I7" s="44">
        <f>ALL!L13</f>
        <v>700000</v>
      </c>
      <c r="J7" s="45">
        <f>ALL!M13</f>
        <v>150000</v>
      </c>
      <c r="K7" s="45">
        <f>ALL!N13</f>
        <v>86500</v>
      </c>
      <c r="L7" s="44">
        <f>ALL!O13</f>
        <v>69200</v>
      </c>
      <c r="M7" s="44">
        <f>ALL!P13</f>
        <v>32500</v>
      </c>
      <c r="N7" s="12">
        <f>ALL!T13</f>
        <v>286000</v>
      </c>
      <c r="O7" s="44">
        <f>ALL!U13</f>
        <v>150000</v>
      </c>
      <c r="P7" s="46">
        <f>ALL!Q13</f>
        <v>0</v>
      </c>
      <c r="Q7" s="46">
        <f>ALL!AF13</f>
        <v>0</v>
      </c>
      <c r="R7" s="46">
        <f>ALL!AS13</f>
        <v>0</v>
      </c>
      <c r="S7" s="47">
        <f>ALL!AT13</f>
        <v>3204200</v>
      </c>
    </row>
    <row r="8" spans="1:19" x14ac:dyDescent="0.25">
      <c r="A8" s="23">
        <v>4</v>
      </c>
      <c r="B8" s="24" t="str">
        <f>ALL!C14</f>
        <v xml:space="preserve">Rahmat Uki Bahtiar, S.Sy, S.Pd. </v>
      </c>
      <c r="C8" s="24"/>
      <c r="D8" s="24" t="s">
        <v>40</v>
      </c>
      <c r="E8" s="43">
        <v>31</v>
      </c>
      <c r="F8" s="43"/>
      <c r="G8" s="43"/>
      <c r="H8" s="44">
        <f>ALL!K14</f>
        <v>1730000</v>
      </c>
      <c r="I8" s="44">
        <f>ALL!L14</f>
        <v>700000</v>
      </c>
      <c r="J8" s="45">
        <f>ALL!M14</f>
        <v>100000</v>
      </c>
      <c r="K8" s="45">
        <f>ALL!N14</f>
        <v>86500</v>
      </c>
      <c r="L8" s="44">
        <f>ALL!O14</f>
        <v>34600</v>
      </c>
      <c r="M8" s="44">
        <f>ALL!P14</f>
        <v>32500</v>
      </c>
      <c r="N8" s="12">
        <f>ALL!T14</f>
        <v>200200</v>
      </c>
      <c r="O8" s="44">
        <f>ALL!U14</f>
        <v>0</v>
      </c>
      <c r="P8" s="46">
        <f>ALL!Q14</f>
        <v>0</v>
      </c>
      <c r="Q8" s="46">
        <f>ALL!AF14</f>
        <v>0</v>
      </c>
      <c r="R8" s="46">
        <f>ALL!AS14</f>
        <v>0</v>
      </c>
      <c r="S8" s="47">
        <f>ALL!AT14</f>
        <v>2883800</v>
      </c>
    </row>
    <row r="9" spans="1:19" x14ac:dyDescent="0.25">
      <c r="A9" s="23">
        <v>5</v>
      </c>
      <c r="B9" s="24" t="str">
        <f>ALL!C15</f>
        <v>Desitrillia Nurjannah, S.Pd.</v>
      </c>
      <c r="C9" s="24"/>
      <c r="D9" s="24" t="s">
        <v>40</v>
      </c>
      <c r="E9" s="43">
        <v>32</v>
      </c>
      <c r="F9" s="43"/>
      <c r="G9" s="43"/>
      <c r="H9" s="44">
        <f>ALL!K15</f>
        <v>1730000</v>
      </c>
      <c r="I9" s="44">
        <f>ALL!L15</f>
        <v>500000</v>
      </c>
      <c r="J9" s="45">
        <f>ALL!M15</f>
        <v>100000</v>
      </c>
      <c r="K9" s="45">
        <f>ALL!N15</f>
        <v>86500</v>
      </c>
      <c r="L9" s="44">
        <f>ALL!O15</f>
        <v>0</v>
      </c>
      <c r="M9" s="44">
        <f>ALL!P15</f>
        <v>32500</v>
      </c>
      <c r="N9" s="12">
        <f>ALL!T15</f>
        <v>242000</v>
      </c>
      <c r="O9" s="44">
        <f>ALL!U15</f>
        <v>0</v>
      </c>
      <c r="P9" s="46">
        <f>ALL!Q15</f>
        <v>100000</v>
      </c>
      <c r="Q9" s="46">
        <f>ALL!AF15</f>
        <v>0</v>
      </c>
      <c r="R9" s="46">
        <f>ALL!AS15</f>
        <v>0</v>
      </c>
      <c r="S9" s="47">
        <f>ALL!AT15</f>
        <v>2791000</v>
      </c>
    </row>
    <row r="10" spans="1:19" x14ac:dyDescent="0.25">
      <c r="A10" s="23">
        <v>6</v>
      </c>
      <c r="B10" s="24" t="str">
        <f>ALL!C16</f>
        <v>Rizki Margi Tirta Ramadhani, S.Pd.</v>
      </c>
      <c r="C10" s="24"/>
      <c r="D10" s="24" t="s">
        <v>40</v>
      </c>
      <c r="E10" s="43">
        <v>33</v>
      </c>
      <c r="F10" s="43"/>
      <c r="G10" s="43"/>
      <c r="H10" s="44">
        <f>ALL!K16</f>
        <v>1384000</v>
      </c>
      <c r="I10" s="44">
        <f>ALL!L16</f>
        <v>300000</v>
      </c>
      <c r="J10" s="45">
        <f>ALL!M16</f>
        <v>0</v>
      </c>
      <c r="K10" s="45">
        <f>ALL!N16</f>
        <v>0</v>
      </c>
      <c r="L10" s="44">
        <f>ALL!O16</f>
        <v>0</v>
      </c>
      <c r="M10" s="44">
        <f>ALL!P16</f>
        <v>0</v>
      </c>
      <c r="N10" s="12">
        <f>ALL!T16</f>
        <v>81400</v>
      </c>
      <c r="O10" s="44">
        <f>ALL!U16</f>
        <v>0</v>
      </c>
      <c r="P10" s="46">
        <f>ALL!Q16</f>
        <v>0</v>
      </c>
      <c r="Q10" s="46">
        <f>ALL!AF16</f>
        <v>0</v>
      </c>
      <c r="R10" s="46">
        <f>ALL!AS16</f>
        <v>0</v>
      </c>
      <c r="S10" s="47">
        <f>ALL!AT16</f>
        <v>1765400</v>
      </c>
    </row>
    <row r="11" spans="1:19" x14ac:dyDescent="0.25">
      <c r="A11" s="23">
        <v>7</v>
      </c>
      <c r="B11" s="24" t="str">
        <f>ALL!C17</f>
        <v>Nurun Nahari Syarifah, S.Psi.</v>
      </c>
      <c r="C11" s="24"/>
      <c r="D11" s="24" t="s">
        <v>40</v>
      </c>
      <c r="E11" s="43">
        <v>34</v>
      </c>
      <c r="F11" s="43"/>
      <c r="G11" s="43"/>
      <c r="H11" s="44">
        <f>ALL!K17</f>
        <v>1730000</v>
      </c>
      <c r="I11" s="44">
        <f>ALL!L17</f>
        <v>500000</v>
      </c>
      <c r="J11" s="45">
        <f>ALL!M17</f>
        <v>150000</v>
      </c>
      <c r="K11" s="45">
        <f>ALL!N17</f>
        <v>86500</v>
      </c>
      <c r="L11" s="44">
        <f>ALL!O17</f>
        <v>69200</v>
      </c>
      <c r="M11" s="44">
        <f>ALL!P17</f>
        <v>32500</v>
      </c>
      <c r="N11" s="12">
        <f>ALL!T17</f>
        <v>81400</v>
      </c>
      <c r="O11" s="44">
        <f>ALL!U17</f>
        <v>0</v>
      </c>
      <c r="P11" s="46">
        <f>ALL!Q17</f>
        <v>0</v>
      </c>
      <c r="Q11" s="46">
        <f>ALL!AF17</f>
        <v>0</v>
      </c>
      <c r="R11" s="46">
        <f>ALL!AS17</f>
        <v>0</v>
      </c>
      <c r="S11" s="47">
        <f>ALL!AT17</f>
        <v>2649600</v>
      </c>
    </row>
    <row r="12" spans="1:19" x14ac:dyDescent="0.25">
      <c r="A12" s="23">
        <v>8</v>
      </c>
      <c r="B12" s="24" t="str">
        <f>ALL!C18</f>
        <v>NUR KHAMIDAH, S.Pd.</v>
      </c>
      <c r="C12" s="24"/>
      <c r="D12" s="24" t="s">
        <v>40</v>
      </c>
      <c r="E12" s="43">
        <v>35</v>
      </c>
      <c r="F12" s="43"/>
      <c r="G12" s="43"/>
      <c r="H12" s="44">
        <f>ALL!K18</f>
        <v>1384000</v>
      </c>
      <c r="I12" s="44">
        <f>ALL!L18</f>
        <v>300000</v>
      </c>
      <c r="J12" s="45">
        <f>ALL!M18</f>
        <v>0</v>
      </c>
      <c r="K12" s="45">
        <f>ALL!N18</f>
        <v>0</v>
      </c>
      <c r="L12" s="44">
        <f>ALL!O18</f>
        <v>0</v>
      </c>
      <c r="M12" s="44">
        <f>ALL!P18</f>
        <v>0</v>
      </c>
      <c r="N12" s="12">
        <f>ALL!T18</f>
        <v>121000</v>
      </c>
      <c r="O12" s="44">
        <f>ALL!U18</f>
        <v>0</v>
      </c>
      <c r="P12" s="46">
        <f>ALL!Q18</f>
        <v>0</v>
      </c>
      <c r="Q12" s="46">
        <f>ALL!AF18</f>
        <v>0</v>
      </c>
      <c r="R12" s="46">
        <f>ALL!AS18</f>
        <v>0</v>
      </c>
      <c r="S12" s="47">
        <f>ALL!AT18</f>
        <v>1805000</v>
      </c>
    </row>
    <row r="13" spans="1:19" ht="18" customHeight="1" x14ac:dyDescent="0.25">
      <c r="A13" s="23">
        <v>9</v>
      </c>
      <c r="B13" s="24" t="str">
        <f>ALL!C19</f>
        <v>Syaifiana Anjar Puspitasari,S.Pd.</v>
      </c>
      <c r="C13" s="24"/>
      <c r="D13" s="24" t="s">
        <v>40</v>
      </c>
      <c r="E13" s="43">
        <v>36</v>
      </c>
      <c r="F13" s="43"/>
      <c r="G13" s="43"/>
      <c r="H13" s="44">
        <f>ALL!K19</f>
        <v>1730000</v>
      </c>
      <c r="I13" s="44">
        <f>ALL!L19</f>
        <v>500000</v>
      </c>
      <c r="J13" s="45">
        <f>ALL!M19</f>
        <v>50000</v>
      </c>
      <c r="K13" s="45">
        <f>ALL!N19</f>
        <v>86500</v>
      </c>
      <c r="L13" s="44">
        <f>ALL!O19</f>
        <v>34600</v>
      </c>
      <c r="M13" s="44">
        <f>ALL!P19</f>
        <v>32500</v>
      </c>
      <c r="N13" s="12">
        <f>ALL!T19</f>
        <v>242000</v>
      </c>
      <c r="O13" s="44">
        <f>ALL!U19</f>
        <v>0</v>
      </c>
      <c r="P13" s="46">
        <f>ALL!Q19</f>
        <v>0</v>
      </c>
      <c r="Q13" s="46">
        <f>ALL!AF19</f>
        <v>0</v>
      </c>
      <c r="R13" s="46">
        <f>ALL!AS19</f>
        <v>0</v>
      </c>
      <c r="S13" s="47">
        <f>ALL!AT19</f>
        <v>2675600</v>
      </c>
    </row>
    <row r="14" spans="1:19" x14ac:dyDescent="0.25">
      <c r="A14" s="23">
        <v>10</v>
      </c>
      <c r="B14" s="24" t="str">
        <f>ALL!C20</f>
        <v>FARRAS ULAYYA ALLIFNI, S.Pd.</v>
      </c>
      <c r="C14" s="24"/>
      <c r="D14" s="24" t="s">
        <v>40</v>
      </c>
      <c r="E14" s="43">
        <v>37</v>
      </c>
      <c r="F14" s="43"/>
      <c r="G14" s="43"/>
      <c r="H14" s="44">
        <f>ALL!K20</f>
        <v>1384000</v>
      </c>
      <c r="I14" s="44">
        <f>ALL!L20</f>
        <v>300000</v>
      </c>
      <c r="J14" s="45">
        <f>ALL!M20</f>
        <v>0</v>
      </c>
      <c r="K14" s="45">
        <f>ALL!N20</f>
        <v>0</v>
      </c>
      <c r="L14" s="44">
        <f>ALL!O20</f>
        <v>0</v>
      </c>
      <c r="M14" s="44">
        <f>ALL!P20</f>
        <v>0</v>
      </c>
      <c r="N14" s="12">
        <f>ALL!T20</f>
        <v>81400</v>
      </c>
      <c r="O14" s="44">
        <f>ALL!U20</f>
        <v>0</v>
      </c>
      <c r="P14" s="46">
        <f>ALL!Q20</f>
        <v>0</v>
      </c>
      <c r="Q14" s="46">
        <f>ALL!AF20</f>
        <v>0</v>
      </c>
      <c r="R14" s="46">
        <f>ALL!AS20</f>
        <v>0</v>
      </c>
      <c r="S14" s="47">
        <f>ALL!AT20</f>
        <v>1765400</v>
      </c>
    </row>
    <row r="15" spans="1:19" x14ac:dyDescent="0.25">
      <c r="A15" s="23">
        <v>11</v>
      </c>
      <c r="B15" s="24" t="str">
        <f>ALL!C21</f>
        <v>Muhimmatun Nisa', S. Pd</v>
      </c>
      <c r="C15" s="24"/>
      <c r="D15" s="24" t="s">
        <v>40</v>
      </c>
      <c r="E15" s="43">
        <v>38</v>
      </c>
      <c r="F15" s="43"/>
      <c r="G15" s="43"/>
      <c r="H15" s="44">
        <f>ALL!K21</f>
        <v>1384000</v>
      </c>
      <c r="I15" s="44">
        <f>ALL!L21</f>
        <v>1100000</v>
      </c>
      <c r="J15" s="45">
        <f>ALL!M21</f>
        <v>0</v>
      </c>
      <c r="K15" s="45">
        <f>ALL!N21</f>
        <v>0</v>
      </c>
      <c r="L15" s="44">
        <f>ALL!O21</f>
        <v>0</v>
      </c>
      <c r="M15" s="44">
        <f>ALL!P21</f>
        <v>0</v>
      </c>
      <c r="N15" s="12">
        <f>ALL!T21</f>
        <v>242000</v>
      </c>
      <c r="O15" s="44">
        <f>ALL!U21</f>
        <v>0</v>
      </c>
      <c r="P15" s="46">
        <f>ALL!Q21</f>
        <v>0</v>
      </c>
      <c r="Q15" s="46">
        <f>ALL!AF21</f>
        <v>0</v>
      </c>
      <c r="R15" s="46">
        <f>ALL!AS21</f>
        <v>0</v>
      </c>
      <c r="S15" s="47">
        <f>ALL!AT21</f>
        <v>2726000</v>
      </c>
    </row>
    <row r="16" spans="1:19" x14ac:dyDescent="0.25">
      <c r="A16" s="23">
        <v>12</v>
      </c>
      <c r="B16" s="24" t="str">
        <f>ALL!C22</f>
        <v xml:space="preserve">Rizki Hardyanti, S.Pd. </v>
      </c>
      <c r="C16" s="24"/>
      <c r="D16" s="24" t="s">
        <v>40</v>
      </c>
      <c r="E16" s="43">
        <v>39</v>
      </c>
      <c r="F16" s="43"/>
      <c r="G16" s="43"/>
      <c r="H16" s="44">
        <f>ALL!K22</f>
        <v>1730000</v>
      </c>
      <c r="I16" s="44">
        <f>ALL!L22</f>
        <v>600000</v>
      </c>
      <c r="J16" s="45">
        <f>ALL!M22</f>
        <v>0</v>
      </c>
      <c r="K16" s="45">
        <f>ALL!N22</f>
        <v>0</v>
      </c>
      <c r="L16" s="44">
        <f>ALL!O22</f>
        <v>0</v>
      </c>
      <c r="M16" s="44">
        <f>ALL!P22</f>
        <v>0</v>
      </c>
      <c r="N16" s="12">
        <f>ALL!T22</f>
        <v>242000</v>
      </c>
      <c r="O16" s="44">
        <f>ALL!U22</f>
        <v>0</v>
      </c>
      <c r="P16" s="46">
        <f>ALL!Q22</f>
        <v>0</v>
      </c>
      <c r="Q16" s="46">
        <f>ALL!AF22</f>
        <v>0</v>
      </c>
      <c r="R16" s="46">
        <f>ALL!AS22</f>
        <v>0</v>
      </c>
      <c r="S16" s="47">
        <f>ALL!AT22</f>
        <v>2572000</v>
      </c>
    </row>
    <row r="17" spans="1:19" x14ac:dyDescent="0.25">
      <c r="A17" s="23">
        <v>13</v>
      </c>
      <c r="B17" s="24" t="str">
        <f>ALL!C23</f>
        <v>Asmal Wafa, S.Pd.</v>
      </c>
      <c r="C17" s="24"/>
      <c r="D17" s="24" t="s">
        <v>40</v>
      </c>
      <c r="E17" s="43">
        <v>40</v>
      </c>
      <c r="F17" s="43"/>
      <c r="G17" s="43"/>
      <c r="H17" s="44">
        <f>ALL!K23</f>
        <v>1730000</v>
      </c>
      <c r="I17" s="44">
        <f>ALL!L23</f>
        <v>1100000</v>
      </c>
      <c r="J17" s="45">
        <f>ALL!M23</f>
        <v>150000</v>
      </c>
      <c r="K17" s="45">
        <f>ALL!N23</f>
        <v>86500</v>
      </c>
      <c r="L17" s="44">
        <f>ALL!O23</f>
        <v>69200</v>
      </c>
      <c r="M17" s="44">
        <f>ALL!P23</f>
        <v>32500</v>
      </c>
      <c r="N17" s="12">
        <f>ALL!T23</f>
        <v>121000</v>
      </c>
      <c r="O17" s="44">
        <f>ALL!U23</f>
        <v>0</v>
      </c>
      <c r="P17" s="46">
        <f>ALL!Q23</f>
        <v>0</v>
      </c>
      <c r="Q17" s="46">
        <f>ALL!AF23</f>
        <v>0</v>
      </c>
      <c r="R17" s="46">
        <f>ALL!AS23</f>
        <v>0</v>
      </c>
      <c r="S17" s="47">
        <f>ALL!AT23</f>
        <v>3289200</v>
      </c>
    </row>
    <row r="18" spans="1:19" x14ac:dyDescent="0.25">
      <c r="A18" s="23">
        <v>14</v>
      </c>
      <c r="B18" s="24" t="str">
        <f>ALL!C24</f>
        <v>HANIF MUSTAQFIROH, S.Pd.</v>
      </c>
      <c r="C18" s="24"/>
      <c r="D18" s="24" t="s">
        <v>40</v>
      </c>
      <c r="E18" s="43">
        <v>41</v>
      </c>
      <c r="F18" s="43"/>
      <c r="G18" s="43"/>
      <c r="H18" s="44">
        <f>ALL!K24</f>
        <v>1384000</v>
      </c>
      <c r="I18" s="44">
        <f>ALL!L24</f>
        <v>600000</v>
      </c>
      <c r="J18" s="45">
        <f>ALL!M24</f>
        <v>0</v>
      </c>
      <c r="K18" s="45">
        <f>ALL!N24</f>
        <v>0</v>
      </c>
      <c r="L18" s="44">
        <f>ALL!O24</f>
        <v>0</v>
      </c>
      <c r="M18" s="44">
        <f>ALL!P24</f>
        <v>0</v>
      </c>
      <c r="N18" s="12">
        <f>ALL!T24</f>
        <v>286000</v>
      </c>
      <c r="O18" s="44">
        <f>ALL!U24</f>
        <v>0</v>
      </c>
      <c r="P18" s="46">
        <f>ALL!Q24</f>
        <v>0</v>
      </c>
      <c r="Q18" s="46">
        <f>ALL!AF24</f>
        <v>0</v>
      </c>
      <c r="R18" s="46">
        <f>ALL!AS24</f>
        <v>0</v>
      </c>
      <c r="S18" s="47">
        <f>ALL!AT24</f>
        <v>2270000</v>
      </c>
    </row>
    <row r="19" spans="1:19" x14ac:dyDescent="0.25">
      <c r="A19" s="23">
        <v>15</v>
      </c>
      <c r="B19" s="24" t="str">
        <f>ALL!C25</f>
        <v xml:space="preserve">Firda Farihatul Ulya, S.Pd. </v>
      </c>
      <c r="C19" s="24"/>
      <c r="D19" s="24" t="s">
        <v>40</v>
      </c>
      <c r="E19" s="43">
        <v>42</v>
      </c>
      <c r="F19" s="43"/>
      <c r="G19" s="43"/>
      <c r="H19" s="44">
        <f>ALL!K25</f>
        <v>1730000</v>
      </c>
      <c r="I19" s="44">
        <f>ALL!L25</f>
        <v>500000</v>
      </c>
      <c r="J19" s="45">
        <f>ALL!M25</f>
        <v>50000</v>
      </c>
      <c r="K19" s="45">
        <f>ALL!N25</f>
        <v>86500</v>
      </c>
      <c r="L19" s="44">
        <f>ALL!O25</f>
        <v>34600</v>
      </c>
      <c r="M19" s="44">
        <f>ALL!P25</f>
        <v>32500</v>
      </c>
      <c r="N19" s="12">
        <f>ALL!T25</f>
        <v>242000</v>
      </c>
      <c r="O19" s="44">
        <f>ALL!U25</f>
        <v>0</v>
      </c>
      <c r="P19" s="46">
        <f>ALL!Q25</f>
        <v>0</v>
      </c>
      <c r="Q19" s="46">
        <f>ALL!AF25</f>
        <v>0</v>
      </c>
      <c r="R19" s="46">
        <f>ALL!AS25</f>
        <v>0</v>
      </c>
      <c r="S19" s="47">
        <f>ALL!AT25</f>
        <v>2675600</v>
      </c>
    </row>
    <row r="20" spans="1:19" x14ac:dyDescent="0.25">
      <c r="A20" s="23">
        <v>16</v>
      </c>
      <c r="B20" s="24" t="str">
        <f>ALL!C26</f>
        <v xml:space="preserve">Luqman Khafid, M.Pd. </v>
      </c>
      <c r="C20" s="24"/>
      <c r="D20" s="24" t="s">
        <v>40</v>
      </c>
      <c r="E20" s="43">
        <v>43</v>
      </c>
      <c r="F20" s="43"/>
      <c r="G20" s="43"/>
      <c r="H20" s="44">
        <f>ALL!K26</f>
        <v>1830000</v>
      </c>
      <c r="I20" s="44">
        <f>ALL!L26</f>
        <v>300000</v>
      </c>
      <c r="J20" s="45">
        <f>ALL!M26</f>
        <v>50000</v>
      </c>
      <c r="K20" s="45">
        <f>ALL!N26</f>
        <v>91500</v>
      </c>
      <c r="L20" s="44">
        <f>ALL!O26</f>
        <v>36600</v>
      </c>
      <c r="M20" s="44">
        <f>ALL!P26</f>
        <v>32500</v>
      </c>
      <c r="N20" s="12">
        <f>ALL!T26</f>
        <v>242000</v>
      </c>
      <c r="O20" s="44">
        <f>ALL!U26</f>
        <v>0</v>
      </c>
      <c r="P20" s="46">
        <f>ALL!Q26</f>
        <v>0</v>
      </c>
      <c r="Q20" s="46">
        <f>ALL!AF26</f>
        <v>0</v>
      </c>
      <c r="R20" s="46">
        <f>ALL!AS26</f>
        <v>0</v>
      </c>
      <c r="S20" s="47">
        <f>ALL!AT26</f>
        <v>2582600</v>
      </c>
    </row>
    <row r="21" spans="1:19" x14ac:dyDescent="0.25">
      <c r="A21" s="23">
        <v>17</v>
      </c>
      <c r="B21" s="24" t="str">
        <f>ALL!C27</f>
        <v xml:space="preserve">Sri Hartatik, S.Pd. </v>
      </c>
      <c r="C21" s="24"/>
      <c r="D21" s="24" t="s">
        <v>40</v>
      </c>
      <c r="E21" s="43">
        <v>44</v>
      </c>
      <c r="F21" s="43"/>
      <c r="G21" s="43"/>
      <c r="H21" s="44">
        <f>ALL!K27</f>
        <v>1730000</v>
      </c>
      <c r="I21" s="44">
        <f>ALL!L27</f>
        <v>600000</v>
      </c>
      <c r="J21" s="45">
        <f>ALL!M27</f>
        <v>50000</v>
      </c>
      <c r="K21" s="45">
        <f>ALL!N27</f>
        <v>0</v>
      </c>
      <c r="L21" s="44">
        <f>ALL!O27</f>
        <v>0</v>
      </c>
      <c r="M21" s="44">
        <f>ALL!P27</f>
        <v>32500</v>
      </c>
      <c r="N21" s="12">
        <f>ALL!T27</f>
        <v>286000</v>
      </c>
      <c r="O21" s="44">
        <f>ALL!U27</f>
        <v>0</v>
      </c>
      <c r="P21" s="46">
        <f>ALL!Q27</f>
        <v>0</v>
      </c>
      <c r="Q21" s="46">
        <f>ALL!AF27</f>
        <v>0</v>
      </c>
      <c r="R21" s="46">
        <f>ALL!AS27</f>
        <v>0</v>
      </c>
      <c r="S21" s="47">
        <f>ALL!AT27</f>
        <v>2698500</v>
      </c>
    </row>
    <row r="22" spans="1:19" ht="16.5" customHeight="1" x14ac:dyDescent="0.25">
      <c r="A22" s="23">
        <v>18</v>
      </c>
      <c r="B22" s="24" t="str">
        <f>ALL!C28</f>
        <v xml:space="preserve">Raka Adi Setya, S.Pd. </v>
      </c>
      <c r="C22" s="24"/>
      <c r="D22" s="24" t="s">
        <v>40</v>
      </c>
      <c r="E22" s="43">
        <v>45</v>
      </c>
      <c r="F22" s="43"/>
      <c r="G22" s="43"/>
      <c r="H22" s="44">
        <f>ALL!K28</f>
        <v>1384000</v>
      </c>
      <c r="I22" s="44">
        <f>ALL!L28</f>
        <v>300000</v>
      </c>
      <c r="J22" s="45">
        <f>ALL!M28</f>
        <v>0</v>
      </c>
      <c r="K22" s="45">
        <f>ALL!N28</f>
        <v>0</v>
      </c>
      <c r="L22" s="44">
        <f>ALL!O28</f>
        <v>0</v>
      </c>
      <c r="M22" s="44">
        <f>ALL!P28</f>
        <v>0</v>
      </c>
      <c r="N22" s="12">
        <f>ALL!T28</f>
        <v>121000</v>
      </c>
      <c r="O22" s="44">
        <f>ALL!U28</f>
        <v>0</v>
      </c>
      <c r="P22" s="46">
        <f>ALL!Q28</f>
        <v>0</v>
      </c>
      <c r="Q22" s="46">
        <f>ALL!AF28</f>
        <v>0</v>
      </c>
      <c r="R22" s="46">
        <f>ALL!AS28</f>
        <v>0</v>
      </c>
      <c r="S22" s="47">
        <f>ALL!AT28</f>
        <v>1805000</v>
      </c>
    </row>
    <row r="23" spans="1:19" x14ac:dyDescent="0.25">
      <c r="A23" s="23">
        <v>19</v>
      </c>
      <c r="B23" s="24" t="str">
        <f>ALL!C29</f>
        <v>Maulida Rahmawati, S.Pd.</v>
      </c>
      <c r="C23" s="24"/>
      <c r="D23" s="24" t="s">
        <v>40</v>
      </c>
      <c r="E23" s="43">
        <v>46</v>
      </c>
      <c r="F23" s="43"/>
      <c r="G23" s="43"/>
      <c r="H23" s="44">
        <f>ALL!K29</f>
        <v>1730000</v>
      </c>
      <c r="I23" s="44">
        <f>ALL!L29</f>
        <v>500000</v>
      </c>
      <c r="J23" s="45">
        <f>ALL!M29</f>
        <v>50000</v>
      </c>
      <c r="K23" s="45">
        <f>ALL!N29</f>
        <v>86500</v>
      </c>
      <c r="L23" s="44">
        <f>ALL!O29</f>
        <v>34600</v>
      </c>
      <c r="M23" s="44">
        <f>ALL!P29</f>
        <v>32500</v>
      </c>
      <c r="N23" s="12">
        <f>ALL!T29</f>
        <v>286000</v>
      </c>
      <c r="O23" s="44">
        <f>ALL!U29</f>
        <v>0</v>
      </c>
      <c r="P23" s="46">
        <f>ALL!Q29</f>
        <v>0</v>
      </c>
      <c r="Q23" s="46">
        <f>ALL!AF29</f>
        <v>0</v>
      </c>
      <c r="R23" s="46">
        <f>ALL!AS29</f>
        <v>0</v>
      </c>
      <c r="S23" s="47">
        <f>ALL!AT29</f>
        <v>2719600</v>
      </c>
    </row>
    <row r="24" spans="1:19" x14ac:dyDescent="0.25">
      <c r="A24" s="23">
        <v>20</v>
      </c>
      <c r="B24" s="24" t="str">
        <f>ALL!C30</f>
        <v xml:space="preserve">Khoiril Anwar, S.Pd. </v>
      </c>
      <c r="C24" s="24"/>
      <c r="D24" s="24" t="s">
        <v>40</v>
      </c>
      <c r="E24" s="43">
        <v>47</v>
      </c>
      <c r="F24" s="43"/>
      <c r="G24" s="43"/>
      <c r="H24" s="44">
        <f>ALL!K30</f>
        <v>1384000</v>
      </c>
      <c r="I24" s="44">
        <f>ALL!L30</f>
        <v>300000</v>
      </c>
      <c r="J24" s="45">
        <f>ALL!M30</f>
        <v>0</v>
      </c>
      <c r="K24" s="45">
        <f>ALL!N30</f>
        <v>0</v>
      </c>
      <c r="L24" s="44">
        <f>ALL!O30</f>
        <v>0</v>
      </c>
      <c r="M24" s="44">
        <f>ALL!P30</f>
        <v>0</v>
      </c>
      <c r="N24" s="12">
        <f>ALL!T30</f>
        <v>286000</v>
      </c>
      <c r="O24" s="44">
        <f>ALL!U30</f>
        <v>0</v>
      </c>
      <c r="P24" s="46">
        <f>ALL!Q30</f>
        <v>0</v>
      </c>
      <c r="Q24" s="46">
        <f>ALL!AF30</f>
        <v>0</v>
      </c>
      <c r="R24" s="46">
        <f>ALL!AS30</f>
        <v>0</v>
      </c>
      <c r="S24" s="47">
        <f>ALL!AT30</f>
        <v>1970000</v>
      </c>
    </row>
    <row r="25" spans="1:19" ht="15.75" customHeight="1" x14ac:dyDescent="0.25">
      <c r="A25" s="23">
        <v>21</v>
      </c>
      <c r="B25" s="24" t="str">
        <f>ALL!C31</f>
        <v xml:space="preserve">Ni'matul Afifah, S.Pd. </v>
      </c>
      <c r="C25" s="24"/>
      <c r="D25" s="24" t="s">
        <v>40</v>
      </c>
      <c r="E25" s="43">
        <v>48</v>
      </c>
      <c r="F25" s="43"/>
      <c r="G25" s="43"/>
      <c r="H25" s="44">
        <f>ALL!K31</f>
        <v>1730000</v>
      </c>
      <c r="I25" s="44">
        <f>ALL!L31</f>
        <v>600000</v>
      </c>
      <c r="J25" s="45">
        <f>ALL!M31</f>
        <v>50000</v>
      </c>
      <c r="K25" s="45">
        <f>ALL!N31</f>
        <v>86500</v>
      </c>
      <c r="L25" s="44">
        <f>ALL!O31</f>
        <v>34600</v>
      </c>
      <c r="M25" s="44">
        <f>ALL!P31</f>
        <v>32500</v>
      </c>
      <c r="N25" s="12">
        <f>ALL!T31</f>
        <v>160600</v>
      </c>
      <c r="O25" s="44">
        <f>ALL!U31</f>
        <v>0</v>
      </c>
      <c r="P25" s="46">
        <f>ALL!Q31</f>
        <v>0</v>
      </c>
      <c r="Q25" s="46">
        <f>ALL!AF31</f>
        <v>0</v>
      </c>
      <c r="R25" s="46">
        <f>ALL!AS31</f>
        <v>0</v>
      </c>
      <c r="S25" s="47">
        <f>ALL!AT31</f>
        <v>2694200</v>
      </c>
    </row>
    <row r="26" spans="1:19" x14ac:dyDescent="0.25">
      <c r="A26" s="23">
        <v>22</v>
      </c>
      <c r="B26" s="24" t="str">
        <f>ALL!C32</f>
        <v>Risqa Nur Fadhilah, S.Pd.</v>
      </c>
      <c r="C26" s="24"/>
      <c r="D26" s="24" t="s">
        <v>40</v>
      </c>
      <c r="E26" s="43">
        <v>49</v>
      </c>
      <c r="F26" s="43"/>
      <c r="G26" s="43"/>
      <c r="H26" s="44">
        <f>ALL!K32</f>
        <v>1730000</v>
      </c>
      <c r="I26" s="44">
        <f>ALL!L32</f>
        <v>600000</v>
      </c>
      <c r="J26" s="45">
        <f>ALL!M32</f>
        <v>50000</v>
      </c>
      <c r="K26" s="45">
        <f>ALL!N32</f>
        <v>86500</v>
      </c>
      <c r="L26" s="44">
        <f>ALL!O32</f>
        <v>34600</v>
      </c>
      <c r="M26" s="44">
        <f>ALL!P32</f>
        <v>32500</v>
      </c>
      <c r="N26" s="12">
        <f>ALL!T32</f>
        <v>81400</v>
      </c>
      <c r="O26" s="44">
        <f>ALL!U32</f>
        <v>0</v>
      </c>
      <c r="P26" s="46">
        <f>ALL!Q32</f>
        <v>0</v>
      </c>
      <c r="Q26" s="46">
        <f>ALL!AF32</f>
        <v>0</v>
      </c>
      <c r="R26" s="46">
        <f>ALL!AS32</f>
        <v>0</v>
      </c>
      <c r="S26" s="47">
        <f>ALL!AT32</f>
        <v>2615000</v>
      </c>
    </row>
    <row r="27" spans="1:19" ht="15.75" customHeight="1" x14ac:dyDescent="0.25">
      <c r="A27" s="23">
        <v>23</v>
      </c>
      <c r="B27" s="24" t="str">
        <f>ALL!C33</f>
        <v xml:space="preserve">Rika Setyaningsih, S.Pd. </v>
      </c>
      <c r="C27" s="24"/>
      <c r="D27" s="24" t="s">
        <v>40</v>
      </c>
      <c r="E27" s="43">
        <v>50</v>
      </c>
      <c r="F27" s="43"/>
      <c r="G27" s="43"/>
      <c r="H27" s="44">
        <f>ALL!K33</f>
        <v>1730000</v>
      </c>
      <c r="I27" s="44">
        <f>ALL!L33</f>
        <v>600000</v>
      </c>
      <c r="J27" s="45">
        <f>ALL!M33</f>
        <v>100000</v>
      </c>
      <c r="K27" s="45">
        <f>ALL!N33</f>
        <v>86500</v>
      </c>
      <c r="L27" s="44">
        <f>ALL!O33</f>
        <v>34600</v>
      </c>
      <c r="M27" s="44">
        <f>ALL!P33</f>
        <v>32500</v>
      </c>
      <c r="N27" s="12">
        <f>ALL!T33</f>
        <v>81400</v>
      </c>
      <c r="O27" s="44">
        <f>ALL!U33</f>
        <v>0</v>
      </c>
      <c r="P27" s="46">
        <f>ALL!Q33</f>
        <v>0</v>
      </c>
      <c r="Q27" s="46">
        <f>ALL!AF33</f>
        <v>0</v>
      </c>
      <c r="R27" s="46">
        <f>ALL!AS33</f>
        <v>0</v>
      </c>
      <c r="S27" s="47">
        <f>ALL!AT33</f>
        <v>2665000</v>
      </c>
    </row>
    <row r="28" spans="1:19" x14ac:dyDescent="0.25">
      <c r="A28" s="23">
        <v>24</v>
      </c>
      <c r="B28" s="24" t="str">
        <f>ALL!C34</f>
        <v>Khoiroma Aushof, S.Pd.</v>
      </c>
      <c r="C28" s="24"/>
      <c r="D28" s="24" t="s">
        <v>40</v>
      </c>
      <c r="E28" s="43">
        <v>51</v>
      </c>
      <c r="F28" s="43"/>
      <c r="G28" s="43"/>
      <c r="H28" s="44">
        <f>ALL!K34</f>
        <v>1730000</v>
      </c>
      <c r="I28" s="44">
        <f>ALL!L34</f>
        <v>600000</v>
      </c>
      <c r="J28" s="45">
        <f>ALL!M34</f>
        <v>50000</v>
      </c>
      <c r="K28" s="45">
        <f>ALL!N34</f>
        <v>86500</v>
      </c>
      <c r="L28" s="44">
        <f>ALL!O34</f>
        <v>34600</v>
      </c>
      <c r="M28" s="44">
        <f>ALL!P34</f>
        <v>32500</v>
      </c>
      <c r="N28" s="12">
        <f>ALL!T34</f>
        <v>286000</v>
      </c>
      <c r="O28" s="44">
        <f>ALL!U34</f>
        <v>0</v>
      </c>
      <c r="P28" s="46">
        <f>ALL!Q34</f>
        <v>0</v>
      </c>
      <c r="Q28" s="46">
        <f>ALL!AF34</f>
        <v>0</v>
      </c>
      <c r="R28" s="46">
        <f>ALL!AS34</f>
        <v>0</v>
      </c>
      <c r="S28" s="47">
        <f>ALL!AT34</f>
        <v>2819600</v>
      </c>
    </row>
    <row r="29" spans="1:19" x14ac:dyDescent="0.25">
      <c r="A29" s="23">
        <v>25</v>
      </c>
      <c r="B29" s="24" t="str">
        <f>ALL!C35</f>
        <v xml:space="preserve">Nihlatillah, S.Pd. </v>
      </c>
      <c r="C29" s="24"/>
      <c r="D29" s="24" t="s">
        <v>40</v>
      </c>
      <c r="E29" s="43">
        <v>52</v>
      </c>
      <c r="F29" s="43"/>
      <c r="G29" s="43"/>
      <c r="H29" s="44">
        <f>ALL!K35</f>
        <v>1830000</v>
      </c>
      <c r="I29" s="44">
        <f>ALL!L35</f>
        <v>600000</v>
      </c>
      <c r="J29" s="45">
        <f>ALL!M35</f>
        <v>100000</v>
      </c>
      <c r="K29" s="45">
        <f>ALL!N35</f>
        <v>91500</v>
      </c>
      <c r="L29" s="44">
        <f>ALL!O35</f>
        <v>73200</v>
      </c>
      <c r="M29" s="44">
        <f>ALL!P35</f>
        <v>32500</v>
      </c>
      <c r="N29" s="12">
        <f>ALL!T35</f>
        <v>286000</v>
      </c>
      <c r="O29" s="44">
        <f>ALL!U35</f>
        <v>0</v>
      </c>
      <c r="P29" s="46">
        <f>ALL!Q35</f>
        <v>0</v>
      </c>
      <c r="Q29" s="46">
        <f>ALL!AF35</f>
        <v>0</v>
      </c>
      <c r="R29" s="46">
        <f>ALL!AS35</f>
        <v>0</v>
      </c>
      <c r="S29" s="47">
        <f>ALL!AT35</f>
        <v>3013200</v>
      </c>
    </row>
    <row r="30" spans="1:19" x14ac:dyDescent="0.25">
      <c r="A30" s="23">
        <v>26</v>
      </c>
      <c r="B30" s="24" t="str">
        <f>ALL!C36</f>
        <v>HUSNUL KHOTIMAH, S.Pd.</v>
      </c>
      <c r="C30" s="24"/>
      <c r="D30" s="24" t="s">
        <v>40</v>
      </c>
      <c r="E30" s="43">
        <v>53</v>
      </c>
      <c r="F30" s="43"/>
      <c r="G30" s="43"/>
      <c r="H30" s="44">
        <f>ALL!K36</f>
        <v>1384000</v>
      </c>
      <c r="I30" s="44">
        <f>ALL!L36</f>
        <v>600000</v>
      </c>
      <c r="J30" s="45">
        <f>ALL!M36</f>
        <v>0</v>
      </c>
      <c r="K30" s="45">
        <f>ALL!N36</f>
        <v>0</v>
      </c>
      <c r="L30" s="44">
        <f>ALL!O36</f>
        <v>0</v>
      </c>
      <c r="M30" s="44">
        <f>ALL!P36</f>
        <v>0</v>
      </c>
      <c r="N30" s="12">
        <f>ALL!T36</f>
        <v>286000</v>
      </c>
      <c r="O30" s="44">
        <f>ALL!U36</f>
        <v>0</v>
      </c>
      <c r="P30" s="46">
        <f>ALL!Q36</f>
        <v>0</v>
      </c>
      <c r="Q30" s="46">
        <f>ALL!AF36</f>
        <v>0</v>
      </c>
      <c r="R30" s="46">
        <f>ALL!AS36</f>
        <v>0</v>
      </c>
      <c r="S30" s="47">
        <f>ALL!AT36</f>
        <v>2270000</v>
      </c>
    </row>
    <row r="31" spans="1:19" x14ac:dyDescent="0.25">
      <c r="A31" s="23">
        <v>27</v>
      </c>
      <c r="B31" s="24" t="str">
        <f>ALL!C37</f>
        <v>Titin Safitri, S.Pd.</v>
      </c>
      <c r="C31" s="24"/>
      <c r="D31" s="24" t="s">
        <v>40</v>
      </c>
      <c r="E31" s="43">
        <v>54</v>
      </c>
      <c r="F31" s="43"/>
      <c r="G31" s="43"/>
      <c r="H31" s="44">
        <f>ALL!K37</f>
        <v>1730000</v>
      </c>
      <c r="I31" s="44">
        <f>ALL!L37</f>
        <v>600000</v>
      </c>
      <c r="J31" s="45">
        <f>ALL!M37</f>
        <v>50000</v>
      </c>
      <c r="K31" s="45">
        <f>ALL!N37</f>
        <v>86500</v>
      </c>
      <c r="L31" s="44">
        <f>ALL!O37</f>
        <v>0</v>
      </c>
      <c r="M31" s="44">
        <f>ALL!P37</f>
        <v>32500</v>
      </c>
      <c r="N31" s="12">
        <f>ALL!T37</f>
        <v>286000</v>
      </c>
      <c r="O31" s="44">
        <f>ALL!U37</f>
        <v>0</v>
      </c>
      <c r="P31" s="46">
        <f>ALL!Q37</f>
        <v>0</v>
      </c>
      <c r="Q31" s="46">
        <f>ALL!AF37</f>
        <v>0</v>
      </c>
      <c r="R31" s="46">
        <f>ALL!AS37</f>
        <v>0</v>
      </c>
      <c r="S31" s="47">
        <f>ALL!AT37</f>
        <v>2785000</v>
      </c>
    </row>
    <row r="32" spans="1:19" x14ac:dyDescent="0.25">
      <c r="A32" s="23">
        <v>28</v>
      </c>
      <c r="B32" s="24" t="str">
        <f>ALL!C38</f>
        <v>Shofi Inayah, S.Pd.</v>
      </c>
      <c r="C32" s="24"/>
      <c r="D32" s="24" t="s">
        <v>40</v>
      </c>
      <c r="E32" s="43">
        <v>55</v>
      </c>
      <c r="F32" s="43"/>
      <c r="G32" s="43"/>
      <c r="H32" s="44">
        <f>ALL!K38</f>
        <v>1384000</v>
      </c>
      <c r="I32" s="44">
        <f>ALL!L38</f>
        <v>600000</v>
      </c>
      <c r="J32" s="45">
        <f>ALL!M38</f>
        <v>0</v>
      </c>
      <c r="K32" s="45">
        <f>ALL!N38</f>
        <v>0</v>
      </c>
      <c r="L32" s="44">
        <f>ALL!O38</f>
        <v>0</v>
      </c>
      <c r="M32" s="44">
        <f>ALL!P38</f>
        <v>0</v>
      </c>
      <c r="N32" s="12">
        <f>ALL!T38</f>
        <v>121000</v>
      </c>
      <c r="O32" s="44">
        <f>ALL!U38</f>
        <v>0</v>
      </c>
      <c r="P32" s="46">
        <f>ALL!Q38</f>
        <v>0</v>
      </c>
      <c r="Q32" s="46">
        <f>ALL!AF38</f>
        <v>0</v>
      </c>
      <c r="R32" s="46">
        <f>ALL!AS38</f>
        <v>0</v>
      </c>
      <c r="S32" s="47">
        <f>ALL!AT38</f>
        <v>2105000</v>
      </c>
    </row>
    <row r="33" spans="1:19" x14ac:dyDescent="0.25">
      <c r="A33" s="23">
        <v>29</v>
      </c>
      <c r="B33" s="24" t="str">
        <f>ALL!C39</f>
        <v>Mariyatu Ulfa, S.Pd.</v>
      </c>
      <c r="C33" s="24"/>
      <c r="D33" s="24" t="s">
        <v>40</v>
      </c>
      <c r="E33" s="43">
        <v>56</v>
      </c>
      <c r="F33" s="43"/>
      <c r="G33" s="43"/>
      <c r="H33" s="44">
        <f>ALL!K39</f>
        <v>1730000</v>
      </c>
      <c r="I33" s="44">
        <f>ALL!L39</f>
        <v>600000</v>
      </c>
      <c r="J33" s="45">
        <f>ALL!M39</f>
        <v>150000</v>
      </c>
      <c r="K33" s="45">
        <f>ALL!N39</f>
        <v>86500</v>
      </c>
      <c r="L33" s="44">
        <f>ALL!O39</f>
        <v>69200</v>
      </c>
      <c r="M33" s="44">
        <f>ALL!P39</f>
        <v>32500</v>
      </c>
      <c r="N33" s="12">
        <f>ALL!T39</f>
        <v>81400</v>
      </c>
      <c r="O33" s="44">
        <f>ALL!U39</f>
        <v>100000</v>
      </c>
      <c r="P33" s="46">
        <f>ALL!Q39</f>
        <v>0</v>
      </c>
      <c r="Q33" s="46">
        <f>ALL!AF39</f>
        <v>0</v>
      </c>
      <c r="R33" s="46">
        <f>ALL!AS39</f>
        <v>0</v>
      </c>
      <c r="S33" s="47">
        <f>ALL!AT39</f>
        <v>2849600</v>
      </c>
    </row>
    <row r="34" spans="1:19" x14ac:dyDescent="0.25">
      <c r="A34" s="23">
        <v>30</v>
      </c>
      <c r="B34" s="24" t="str">
        <f>ALL!C40</f>
        <v>Faridah, M.Pd.</v>
      </c>
      <c r="C34" s="24"/>
      <c r="D34" s="24" t="s">
        <v>40</v>
      </c>
      <c r="E34" s="43">
        <v>57</v>
      </c>
      <c r="F34" s="43"/>
      <c r="G34" s="43"/>
      <c r="H34" s="44">
        <f>ALL!K40</f>
        <v>1830000</v>
      </c>
      <c r="I34" s="44">
        <f>ALL!L40</f>
        <v>600000</v>
      </c>
      <c r="J34" s="45">
        <f>ALL!M40</f>
        <v>150000</v>
      </c>
      <c r="K34" s="45">
        <f>ALL!N40</f>
        <v>91500</v>
      </c>
      <c r="L34" s="44">
        <f>ALL!O40</f>
        <v>36600</v>
      </c>
      <c r="M34" s="44">
        <f>ALL!P40</f>
        <v>32500</v>
      </c>
      <c r="N34" s="12">
        <f>ALL!T40</f>
        <v>121000</v>
      </c>
      <c r="O34" s="44">
        <f>ALL!U40</f>
        <v>0</v>
      </c>
      <c r="P34" s="46">
        <f>ALL!Q40</f>
        <v>0</v>
      </c>
      <c r="Q34" s="46">
        <f>ALL!AF40</f>
        <v>0</v>
      </c>
      <c r="R34" s="46">
        <f>ALL!AS40</f>
        <v>0</v>
      </c>
      <c r="S34" s="47">
        <f>ALL!AT40</f>
        <v>2861600</v>
      </c>
    </row>
    <row r="35" spans="1:19" ht="15.75" customHeight="1" x14ac:dyDescent="0.25">
      <c r="A35" s="23">
        <v>31</v>
      </c>
      <c r="B35" s="24" t="str">
        <f>ALL!C41</f>
        <v xml:space="preserve">Faiz Luzmi, S.Pd. </v>
      </c>
      <c r="C35" s="24"/>
      <c r="D35" s="24" t="s">
        <v>40</v>
      </c>
      <c r="E35" s="43">
        <v>58</v>
      </c>
      <c r="F35" s="43"/>
      <c r="G35" s="43"/>
      <c r="H35" s="44">
        <f>ALL!K41</f>
        <v>1730000</v>
      </c>
      <c r="I35" s="44">
        <f>ALL!L41</f>
        <v>600000</v>
      </c>
      <c r="J35" s="45">
        <f>ALL!M41</f>
        <v>50000</v>
      </c>
      <c r="K35" s="45">
        <f>ALL!N41</f>
        <v>86500</v>
      </c>
      <c r="L35" s="44">
        <f>ALL!O41</f>
        <v>0</v>
      </c>
      <c r="M35" s="44">
        <f>ALL!P41</f>
        <v>32500</v>
      </c>
      <c r="N35" s="12">
        <f>ALL!T41</f>
        <v>286000</v>
      </c>
      <c r="O35" s="44">
        <f>ALL!U41</f>
        <v>0</v>
      </c>
      <c r="P35" s="46">
        <f>ALL!Q41</f>
        <v>0</v>
      </c>
      <c r="Q35" s="46">
        <f>ALL!AF41</f>
        <v>0</v>
      </c>
      <c r="R35" s="46">
        <f>ALL!AS41</f>
        <v>0</v>
      </c>
      <c r="S35" s="47">
        <f>ALL!AT41</f>
        <v>2785000</v>
      </c>
    </row>
    <row r="36" spans="1:19" ht="17.25" customHeight="1" x14ac:dyDescent="0.25">
      <c r="A36" s="23">
        <v>32</v>
      </c>
      <c r="B36" s="24" t="str">
        <f>ALL!C42</f>
        <v>M.A Izzuddin Jazuli, S.Ag</v>
      </c>
      <c r="C36" s="24"/>
      <c r="D36" s="24" t="s">
        <v>40</v>
      </c>
      <c r="E36" s="43">
        <v>59</v>
      </c>
      <c r="F36" s="43"/>
      <c r="G36" s="43"/>
      <c r="H36" s="44">
        <f>ALL!K42</f>
        <v>1730000</v>
      </c>
      <c r="I36" s="44">
        <f>ALL!L42</f>
        <v>600000</v>
      </c>
      <c r="J36" s="45">
        <f>ALL!M42</f>
        <v>5000</v>
      </c>
      <c r="K36" s="45">
        <f>ALL!N42</f>
        <v>86500</v>
      </c>
      <c r="L36" s="44">
        <f>ALL!O42</f>
        <v>34600</v>
      </c>
      <c r="M36" s="44">
        <f>ALL!P42</f>
        <v>32500</v>
      </c>
      <c r="N36" s="12">
        <f>ALL!T42</f>
        <v>286000</v>
      </c>
      <c r="O36" s="44">
        <f>ALL!U42</f>
        <v>0</v>
      </c>
      <c r="P36" s="46">
        <f>ALL!Q42</f>
        <v>0</v>
      </c>
      <c r="Q36" s="46">
        <f>ALL!AF42</f>
        <v>0</v>
      </c>
      <c r="R36" s="46">
        <f>ALL!AS42</f>
        <v>0</v>
      </c>
      <c r="S36" s="47">
        <f>ALL!AT42</f>
        <v>2774600</v>
      </c>
    </row>
    <row r="37" spans="1:19" ht="15" customHeight="1" x14ac:dyDescent="0.25">
      <c r="A37" s="23">
        <v>33</v>
      </c>
      <c r="B37" s="24" t="str">
        <f>ALL!C43</f>
        <v xml:space="preserve">Novia Aristyana, S.Pd. </v>
      </c>
      <c r="C37" s="24"/>
      <c r="D37" s="24" t="s">
        <v>40</v>
      </c>
      <c r="E37" s="43">
        <v>60</v>
      </c>
      <c r="F37" s="43"/>
      <c r="G37" s="43"/>
      <c r="H37" s="44">
        <f>ALL!K43</f>
        <v>1730000</v>
      </c>
      <c r="I37" s="44">
        <f>ALL!L43</f>
        <v>600000</v>
      </c>
      <c r="J37" s="45">
        <f>ALL!M43</f>
        <v>100000</v>
      </c>
      <c r="K37" s="45">
        <f>ALL!N43</f>
        <v>86500</v>
      </c>
      <c r="L37" s="44">
        <f>ALL!O43</f>
        <v>69200</v>
      </c>
      <c r="M37" s="44">
        <f>ALL!P43</f>
        <v>32500</v>
      </c>
      <c r="N37" s="12">
        <f>ALL!T43</f>
        <v>160600</v>
      </c>
      <c r="O37" s="44">
        <f>ALL!U43</f>
        <v>0</v>
      </c>
      <c r="P37" s="46">
        <f>ALL!Q43</f>
        <v>0</v>
      </c>
      <c r="Q37" s="46">
        <f>ALL!AF43</f>
        <v>0</v>
      </c>
      <c r="R37" s="46">
        <f>ALL!AS43</f>
        <v>0</v>
      </c>
      <c r="S37" s="47">
        <f>ALL!AT43</f>
        <v>2778800</v>
      </c>
    </row>
    <row r="38" spans="1:19" x14ac:dyDescent="0.25">
      <c r="A38" s="23">
        <v>34</v>
      </c>
      <c r="B38" s="24" t="str">
        <f>ALL!C44</f>
        <v>Ngatriatun, S.Pd.</v>
      </c>
      <c r="C38" s="24"/>
      <c r="D38" s="24" t="s">
        <v>40</v>
      </c>
      <c r="E38" s="43">
        <v>61</v>
      </c>
      <c r="F38" s="43"/>
      <c r="G38" s="43"/>
      <c r="H38" s="44">
        <f>ALL!K44</f>
        <v>1730000</v>
      </c>
      <c r="I38" s="44">
        <f>ALL!L44</f>
        <v>600000</v>
      </c>
      <c r="J38" s="45">
        <f>ALL!M44</f>
        <v>150000</v>
      </c>
      <c r="K38" s="45">
        <f>ALL!N44</f>
        <v>86500</v>
      </c>
      <c r="L38" s="44">
        <f>ALL!O44</f>
        <v>69200</v>
      </c>
      <c r="M38" s="44">
        <f>ALL!P44</f>
        <v>32500</v>
      </c>
      <c r="N38" s="12">
        <f>ALL!T44</f>
        <v>286000</v>
      </c>
      <c r="O38" s="44">
        <f>ALL!U44</f>
        <v>0</v>
      </c>
      <c r="P38" s="46">
        <f>ALL!Q44</f>
        <v>0</v>
      </c>
      <c r="Q38" s="46">
        <f>ALL!AF44</f>
        <v>0</v>
      </c>
      <c r="R38" s="46">
        <f>ALL!AS44</f>
        <v>0</v>
      </c>
      <c r="S38" s="47">
        <f>ALL!AT44</f>
        <v>2954200</v>
      </c>
    </row>
    <row r="39" spans="1:19" x14ac:dyDescent="0.25">
      <c r="A39" s="23">
        <v>35</v>
      </c>
      <c r="B39" s="24" t="str">
        <f>ALL!C45</f>
        <v>Ernawati, M.Pd.</v>
      </c>
      <c r="C39" s="24"/>
      <c r="D39" s="24" t="s">
        <v>40</v>
      </c>
      <c r="E39" s="43">
        <v>62</v>
      </c>
      <c r="F39" s="43"/>
      <c r="G39" s="43"/>
      <c r="H39" s="44">
        <f>ALL!K45</f>
        <v>1830000</v>
      </c>
      <c r="I39" s="44">
        <f>ALL!L45</f>
        <v>600000</v>
      </c>
      <c r="J39" s="45">
        <f>ALL!M45</f>
        <v>150000</v>
      </c>
      <c r="K39" s="45">
        <f>ALL!N45</f>
        <v>91500</v>
      </c>
      <c r="L39" s="44">
        <f>ALL!O45</f>
        <v>73200</v>
      </c>
      <c r="M39" s="44">
        <f>ALL!P45</f>
        <v>32500</v>
      </c>
      <c r="N39" s="12">
        <f>ALL!T45</f>
        <v>242000</v>
      </c>
      <c r="O39" s="44">
        <f>ALL!U45</f>
        <v>0</v>
      </c>
      <c r="P39" s="46">
        <f>ALL!Q45</f>
        <v>0</v>
      </c>
      <c r="Q39" s="46">
        <f>ALL!AF45</f>
        <v>0</v>
      </c>
      <c r="R39" s="46">
        <f>ALL!AS45</f>
        <v>0</v>
      </c>
      <c r="S39" s="47">
        <f>ALL!AT45</f>
        <v>3019200</v>
      </c>
    </row>
    <row r="40" spans="1:19" x14ac:dyDescent="0.25">
      <c r="A40" s="23">
        <v>36</v>
      </c>
      <c r="B40" s="24" t="str">
        <f>ALL!C46</f>
        <v xml:space="preserve">Layla Qodriyyana, S.Pd. </v>
      </c>
      <c r="C40" s="24"/>
      <c r="D40" s="24" t="s">
        <v>40</v>
      </c>
      <c r="E40" s="43">
        <v>63</v>
      </c>
      <c r="F40" s="43"/>
      <c r="G40" s="43"/>
      <c r="H40" s="44">
        <f>ALL!K46</f>
        <v>1730000</v>
      </c>
      <c r="I40" s="44">
        <f>ALL!L46</f>
        <v>600000</v>
      </c>
      <c r="J40" s="45">
        <f>ALL!M46</f>
        <v>150000</v>
      </c>
      <c r="K40" s="45">
        <f>ALL!N46</f>
        <v>86500</v>
      </c>
      <c r="L40" s="44">
        <f>ALL!O46</f>
        <v>69200</v>
      </c>
      <c r="M40" s="44">
        <f>ALL!P46</f>
        <v>32500</v>
      </c>
      <c r="N40" s="12">
        <f>ALL!T46</f>
        <v>286000</v>
      </c>
      <c r="O40" s="44">
        <f>ALL!U46</f>
        <v>0</v>
      </c>
      <c r="P40" s="46">
        <f>ALL!Q46</f>
        <v>0</v>
      </c>
      <c r="Q40" s="46">
        <f>ALL!AF46</f>
        <v>0</v>
      </c>
      <c r="R40" s="46">
        <f>ALL!AS46</f>
        <v>0</v>
      </c>
      <c r="S40" s="47">
        <f>ALL!AT46</f>
        <v>2954200</v>
      </c>
    </row>
    <row r="41" spans="1:19" x14ac:dyDescent="0.25">
      <c r="A41" s="23">
        <v>37</v>
      </c>
      <c r="B41" s="24" t="str">
        <f>ALL!C47</f>
        <v xml:space="preserve">Nur Janah, S.Pd. </v>
      </c>
      <c r="C41" s="24"/>
      <c r="D41" s="24" t="s">
        <v>40</v>
      </c>
      <c r="E41" s="43">
        <v>64</v>
      </c>
      <c r="F41" s="43"/>
      <c r="G41" s="43"/>
      <c r="H41" s="44">
        <f>ALL!K47</f>
        <v>1730000</v>
      </c>
      <c r="I41" s="44">
        <f>ALL!L47</f>
        <v>500000</v>
      </c>
      <c r="J41" s="45">
        <f>ALL!M47</f>
        <v>150000</v>
      </c>
      <c r="K41" s="45">
        <f>ALL!N47</f>
        <v>86500</v>
      </c>
      <c r="L41" s="44">
        <f>ALL!O47</f>
        <v>69200</v>
      </c>
      <c r="M41" s="44">
        <f>ALL!P47</f>
        <v>32500</v>
      </c>
      <c r="N41" s="12">
        <f>ALL!T47</f>
        <v>200200</v>
      </c>
      <c r="O41" s="44">
        <f>ALL!U47</f>
        <v>0</v>
      </c>
      <c r="P41" s="46">
        <f>ALL!Q47</f>
        <v>0</v>
      </c>
      <c r="Q41" s="46">
        <f>ALL!AF47</f>
        <v>0</v>
      </c>
      <c r="R41" s="46">
        <f>ALL!AS47</f>
        <v>0</v>
      </c>
      <c r="S41" s="47">
        <f>ALL!AT47</f>
        <v>2768400</v>
      </c>
    </row>
    <row r="42" spans="1:19" x14ac:dyDescent="0.25">
      <c r="A42" s="23">
        <v>38</v>
      </c>
      <c r="B42" s="24" t="str">
        <f>ALL!C48</f>
        <v>Atana Ridhoka, Lc.</v>
      </c>
      <c r="C42" s="24"/>
      <c r="D42" s="24" t="s">
        <v>40</v>
      </c>
      <c r="E42" s="43">
        <v>65</v>
      </c>
      <c r="F42" s="43"/>
      <c r="G42" s="43"/>
      <c r="H42" s="44">
        <f>ALL!K48</f>
        <v>1730000</v>
      </c>
      <c r="I42" s="44">
        <f>ALL!L48</f>
        <v>600000</v>
      </c>
      <c r="J42" s="45">
        <f>ALL!M48</f>
        <v>50000</v>
      </c>
      <c r="K42" s="45">
        <f>ALL!N48</f>
        <v>86500</v>
      </c>
      <c r="L42" s="44">
        <f>ALL!O48</f>
        <v>34600</v>
      </c>
      <c r="M42" s="44">
        <f>ALL!P48</f>
        <v>32500</v>
      </c>
      <c r="N42" s="12">
        <f>ALL!T48</f>
        <v>200200</v>
      </c>
      <c r="O42" s="44">
        <f>ALL!U48</f>
        <v>0</v>
      </c>
      <c r="P42" s="46">
        <f>ALL!Q48</f>
        <v>0</v>
      </c>
      <c r="Q42" s="46">
        <f>ALL!AF48</f>
        <v>0</v>
      </c>
      <c r="R42" s="46">
        <f>ALL!AS48</f>
        <v>0</v>
      </c>
      <c r="S42" s="47">
        <f>ALL!AT48</f>
        <v>2733800</v>
      </c>
    </row>
    <row r="43" spans="1:19" x14ac:dyDescent="0.25">
      <c r="A43" s="23">
        <v>39</v>
      </c>
      <c r="B43" s="24" t="str">
        <f>ALL!C49</f>
        <v>Sugiyono/Sudarsono</v>
      </c>
      <c r="C43" s="24"/>
      <c r="D43" s="24" t="s">
        <v>40</v>
      </c>
      <c r="E43" s="43">
        <v>66</v>
      </c>
      <c r="F43" s="43"/>
      <c r="G43" s="43"/>
      <c r="H43" s="44">
        <f>ALL!K49</f>
        <v>1000000</v>
      </c>
      <c r="I43" s="44">
        <f>ALL!L49</f>
        <v>0</v>
      </c>
      <c r="J43" s="45">
        <f>ALL!M49</f>
        <v>150000</v>
      </c>
      <c r="K43" s="45">
        <f>ALL!N49</f>
        <v>50000</v>
      </c>
      <c r="L43" s="44">
        <f>ALL!O49</f>
        <v>0</v>
      </c>
      <c r="M43" s="44">
        <f>ALL!P49</f>
        <v>32500</v>
      </c>
      <c r="N43" s="12">
        <f>ALL!T49</f>
        <v>81400</v>
      </c>
      <c r="O43" s="44">
        <f>ALL!U49</f>
        <v>0</v>
      </c>
      <c r="P43" s="46">
        <f>ALL!Q49</f>
        <v>0</v>
      </c>
      <c r="Q43" s="46">
        <f>ALL!AF49</f>
        <v>0</v>
      </c>
      <c r="R43" s="46">
        <f>ALL!AS49</f>
        <v>0</v>
      </c>
      <c r="S43" s="47">
        <f>ALL!AT49</f>
        <v>1313900</v>
      </c>
    </row>
    <row r="44" spans="1:19" x14ac:dyDescent="0.25">
      <c r="A44" s="23">
        <v>40</v>
      </c>
      <c r="B44" s="24" t="str">
        <f>ALL!C50</f>
        <v>Mishbahul Ulum, S.Pd.I</v>
      </c>
      <c r="C44" s="24"/>
      <c r="D44" s="24" t="s">
        <v>40</v>
      </c>
      <c r="E44" s="43">
        <v>67</v>
      </c>
      <c r="F44" s="43"/>
      <c r="G44" s="43"/>
      <c r="H44" s="44">
        <f>ALL!K50</f>
        <v>1730000</v>
      </c>
      <c r="I44" s="44">
        <f>ALL!L50</f>
        <v>350000</v>
      </c>
      <c r="J44" s="45">
        <f>ALL!M50</f>
        <v>100000</v>
      </c>
      <c r="K44" s="45">
        <f>ALL!N50</f>
        <v>86500</v>
      </c>
      <c r="L44" s="44">
        <f>ALL!O50</f>
        <v>69200</v>
      </c>
      <c r="M44" s="44">
        <f>ALL!P50</f>
        <v>32500</v>
      </c>
      <c r="N44" s="12">
        <f>ALL!T50</f>
        <v>286000</v>
      </c>
      <c r="O44" s="44">
        <f>ALL!U50</f>
        <v>0</v>
      </c>
      <c r="P44" s="46">
        <f>ALL!Q50</f>
        <v>0</v>
      </c>
      <c r="Q44" s="46">
        <f>ALL!AF50</f>
        <v>0</v>
      </c>
      <c r="R44" s="46">
        <f>ALL!AS50</f>
        <v>0</v>
      </c>
      <c r="S44" s="47">
        <f>ALL!AT50</f>
        <v>2654200</v>
      </c>
    </row>
    <row r="45" spans="1:19" ht="15.75" customHeight="1" x14ac:dyDescent="0.25">
      <c r="A45" s="23">
        <v>41</v>
      </c>
      <c r="B45" s="24" t="str">
        <f>ALL!C51</f>
        <v>Setiawan</v>
      </c>
      <c r="C45" s="24"/>
      <c r="D45" s="24" t="s">
        <v>40</v>
      </c>
      <c r="E45" s="43">
        <v>68</v>
      </c>
      <c r="F45" s="43"/>
      <c r="G45" s="43"/>
      <c r="H45" s="44">
        <f>ALL!K51</f>
        <v>1730000</v>
      </c>
      <c r="I45" s="44">
        <f>ALL!L51</f>
        <v>0</v>
      </c>
      <c r="J45" s="45">
        <f>ALL!M51</f>
        <v>100000</v>
      </c>
      <c r="K45" s="45">
        <f>ALL!N51</f>
        <v>86500</v>
      </c>
      <c r="L45" s="44">
        <f>ALL!O51</f>
        <v>69200</v>
      </c>
      <c r="M45" s="44">
        <f>ALL!P51</f>
        <v>32500</v>
      </c>
      <c r="N45" s="12">
        <f>ALL!T51</f>
        <v>81400</v>
      </c>
      <c r="O45" s="44">
        <f>ALL!U51</f>
        <v>0</v>
      </c>
      <c r="P45" s="46">
        <f>ALL!Q51</f>
        <v>0</v>
      </c>
      <c r="Q45" s="46">
        <f>ALL!AF51</f>
        <v>0</v>
      </c>
      <c r="R45" s="46">
        <f>ALL!AS51</f>
        <v>0</v>
      </c>
      <c r="S45" s="47">
        <f>ALL!AT51</f>
        <v>2099600</v>
      </c>
    </row>
    <row r="46" spans="1:19" ht="15" customHeight="1" x14ac:dyDescent="0.25">
      <c r="A46" s="23">
        <v>42</v>
      </c>
      <c r="B46" s="24" t="str">
        <f>ALL!C52</f>
        <v>Isniah</v>
      </c>
      <c r="C46" s="24"/>
      <c r="D46" s="24" t="s">
        <v>40</v>
      </c>
      <c r="E46" s="43">
        <v>69</v>
      </c>
      <c r="F46" s="43"/>
      <c r="G46" s="43"/>
      <c r="H46" s="44">
        <f>ALL!K52</f>
        <v>1260000</v>
      </c>
      <c r="I46" s="44">
        <f>ALL!L52</f>
        <v>100000</v>
      </c>
      <c r="J46" s="45">
        <f>ALL!M52</f>
        <v>100000</v>
      </c>
      <c r="K46" s="45">
        <f>ALL!N52</f>
        <v>63000</v>
      </c>
      <c r="L46" s="44">
        <f>ALL!O52</f>
        <v>25200</v>
      </c>
      <c r="M46" s="44">
        <f>ALL!P52</f>
        <v>32500</v>
      </c>
      <c r="N46" s="12">
        <f>ALL!T52</f>
        <v>81400</v>
      </c>
      <c r="O46" s="44">
        <f>ALL!U52</f>
        <v>0</v>
      </c>
      <c r="P46" s="46">
        <f>ALL!Q52</f>
        <v>0</v>
      </c>
      <c r="Q46" s="46">
        <f>ALL!AF52</f>
        <v>0</v>
      </c>
      <c r="R46" s="46">
        <f>ALL!AS52</f>
        <v>0</v>
      </c>
      <c r="S46" s="47">
        <f>ALL!AT52</f>
        <v>1662100</v>
      </c>
    </row>
    <row r="47" spans="1:19" x14ac:dyDescent="0.25">
      <c r="A47" s="23">
        <v>43</v>
      </c>
      <c r="B47" s="24" t="str">
        <f>ALL!C53</f>
        <v>Sholikul Hadi</v>
      </c>
      <c r="C47" s="24"/>
      <c r="D47" s="24" t="s">
        <v>40</v>
      </c>
      <c r="E47" s="43">
        <v>70</v>
      </c>
      <c r="F47" s="43"/>
      <c r="G47" s="43"/>
      <c r="H47" s="44">
        <f>ALL!K53</f>
        <v>1280000</v>
      </c>
      <c r="I47" s="44">
        <f>ALL!L53</f>
        <v>0</v>
      </c>
      <c r="J47" s="45">
        <f>ALL!M53</f>
        <v>100000</v>
      </c>
      <c r="K47" s="45">
        <f>ALL!N53</f>
        <v>0</v>
      </c>
      <c r="L47" s="44">
        <f>ALL!O53</f>
        <v>0</v>
      </c>
      <c r="M47" s="44">
        <f>ALL!P53</f>
        <v>32500</v>
      </c>
      <c r="N47" s="12">
        <f>ALL!T53</f>
        <v>81400</v>
      </c>
      <c r="O47" s="44">
        <f>ALL!U53</f>
        <v>0</v>
      </c>
      <c r="P47" s="46">
        <f>ALL!Q53</f>
        <v>0</v>
      </c>
      <c r="Q47" s="46">
        <f>ALL!AF53</f>
        <v>0</v>
      </c>
      <c r="R47" s="46">
        <f>ALL!AS53</f>
        <v>0</v>
      </c>
      <c r="S47" s="47">
        <f>ALL!AT53</f>
        <v>1493900</v>
      </c>
    </row>
    <row r="48" spans="1:19" ht="18" customHeight="1" x14ac:dyDescent="0.25">
      <c r="A48" s="23">
        <v>44</v>
      </c>
      <c r="B48" s="24" t="str">
        <f>ALL!C54</f>
        <v>Sutarno</v>
      </c>
      <c r="C48" s="24"/>
      <c r="D48" s="24" t="s">
        <v>40</v>
      </c>
      <c r="E48" s="43">
        <v>71</v>
      </c>
      <c r="F48" s="43"/>
      <c r="G48" s="43"/>
      <c r="H48" s="44">
        <f>ALL!K54</f>
        <v>1280000</v>
      </c>
      <c r="I48" s="44">
        <f>ALL!L54</f>
        <v>0</v>
      </c>
      <c r="J48" s="45">
        <f>ALL!M54</f>
        <v>100000</v>
      </c>
      <c r="K48" s="45">
        <f>ALL!N54</f>
        <v>64000</v>
      </c>
      <c r="L48" s="44">
        <f>ALL!O54</f>
        <v>25600</v>
      </c>
      <c r="M48" s="44">
        <f>ALL!P54</f>
        <v>32500</v>
      </c>
      <c r="N48" s="12">
        <f>ALL!T54</f>
        <v>200200</v>
      </c>
      <c r="O48" s="44">
        <f>ALL!U54</f>
        <v>0</v>
      </c>
      <c r="P48" s="46">
        <f>ALL!Q54</f>
        <v>0</v>
      </c>
      <c r="Q48" s="46">
        <f>ALL!AF54</f>
        <v>0</v>
      </c>
      <c r="R48" s="46">
        <f>ALL!AS54</f>
        <v>0</v>
      </c>
      <c r="S48" s="47">
        <f>ALL!AT54</f>
        <v>1702300</v>
      </c>
    </row>
    <row r="49" spans="1:19" x14ac:dyDescent="0.25">
      <c r="A49" s="23">
        <v>45</v>
      </c>
      <c r="B49" s="24" t="str">
        <f>ALL!C55</f>
        <v>Purniawan</v>
      </c>
      <c r="C49" s="24"/>
      <c r="D49" s="24" t="s">
        <v>40</v>
      </c>
      <c r="E49" s="43">
        <v>72</v>
      </c>
      <c r="F49" s="43"/>
      <c r="G49" s="43"/>
      <c r="H49" s="44">
        <f>ALL!K55</f>
        <v>1280000</v>
      </c>
      <c r="I49" s="44">
        <f>ALL!L55</f>
        <v>0</v>
      </c>
      <c r="J49" s="45">
        <f>ALL!M55</f>
        <v>50000</v>
      </c>
      <c r="K49" s="45">
        <f>ALL!N55</f>
        <v>64000</v>
      </c>
      <c r="L49" s="44">
        <f>ALL!O55</f>
        <v>0</v>
      </c>
      <c r="M49" s="44">
        <f>ALL!P55</f>
        <v>32500</v>
      </c>
      <c r="N49" s="12">
        <f>ALL!T55</f>
        <v>160600</v>
      </c>
      <c r="O49" s="44">
        <f>ALL!U55</f>
        <v>0</v>
      </c>
      <c r="P49" s="46">
        <f>ALL!Q55</f>
        <v>0</v>
      </c>
      <c r="Q49" s="46">
        <f>ALL!AF55</f>
        <v>0</v>
      </c>
      <c r="R49" s="46">
        <f>ALL!AS55</f>
        <v>0</v>
      </c>
      <c r="S49" s="47">
        <f>ALL!AT55</f>
        <v>1587100</v>
      </c>
    </row>
    <row r="50" spans="1:19" ht="15.75" customHeight="1" x14ac:dyDescent="0.25">
      <c r="A50" s="23">
        <v>46</v>
      </c>
      <c r="B50" s="24" t="str">
        <f>ALL!C56</f>
        <v>Andi Hermawan</v>
      </c>
      <c r="C50" s="24"/>
      <c r="D50" s="24" t="s">
        <v>40</v>
      </c>
      <c r="E50" s="43">
        <v>73</v>
      </c>
      <c r="F50" s="43"/>
      <c r="G50" s="43"/>
      <c r="H50" s="44">
        <f>ALL!K56</f>
        <v>1280000</v>
      </c>
      <c r="I50" s="44">
        <f>ALL!L56</f>
        <v>0</v>
      </c>
      <c r="J50" s="45">
        <f>ALL!M56</f>
        <v>50000</v>
      </c>
      <c r="K50" s="45">
        <f>ALL!N56</f>
        <v>64000</v>
      </c>
      <c r="L50" s="44">
        <f>ALL!O56</f>
        <v>25600</v>
      </c>
      <c r="M50" s="44">
        <f>ALL!P56</f>
        <v>32500</v>
      </c>
      <c r="N50" s="12">
        <f>ALL!T56</f>
        <v>160600</v>
      </c>
      <c r="O50" s="44">
        <f>ALL!U56</f>
        <v>0</v>
      </c>
      <c r="P50" s="46">
        <f>ALL!Q56</f>
        <v>0</v>
      </c>
      <c r="Q50" s="46">
        <f>ALL!AF56</f>
        <v>0</v>
      </c>
      <c r="R50" s="46">
        <f>ALL!AS56</f>
        <v>0</v>
      </c>
      <c r="S50" s="47">
        <f>ALL!AT56</f>
        <v>1612700</v>
      </c>
    </row>
    <row r="51" spans="1:19" ht="16.5" customHeight="1" x14ac:dyDescent="0.25">
      <c r="A51" s="23">
        <v>47</v>
      </c>
      <c r="B51" s="24" t="str">
        <f>ALL!C57</f>
        <v>Muhammad Iqbal Romadhon</v>
      </c>
      <c r="C51" s="24"/>
      <c r="D51" s="24" t="s">
        <v>40</v>
      </c>
      <c r="E51" s="43">
        <v>74</v>
      </c>
      <c r="F51" s="43"/>
      <c r="G51" s="43"/>
      <c r="H51" s="44">
        <f>ALL!K57</f>
        <v>1280000</v>
      </c>
      <c r="I51" s="44">
        <f>ALL!L57</f>
        <v>0</v>
      </c>
      <c r="J51" s="45">
        <f>ALL!M57</f>
        <v>50000</v>
      </c>
      <c r="K51" s="45">
        <f>ALL!N57</f>
        <v>0</v>
      </c>
      <c r="L51" s="44">
        <f>ALL!O57</f>
        <v>0</v>
      </c>
      <c r="M51" s="44">
        <f>ALL!P57</f>
        <v>32500</v>
      </c>
      <c r="N51" s="12">
        <f>ALL!T57</f>
        <v>160600</v>
      </c>
      <c r="O51" s="44">
        <f>ALL!U57</f>
        <v>0</v>
      </c>
      <c r="P51" s="46">
        <f>ALL!Q57</f>
        <v>0</v>
      </c>
      <c r="Q51" s="46">
        <f>ALL!AF57</f>
        <v>0</v>
      </c>
      <c r="R51" s="46">
        <f>ALL!AS57</f>
        <v>0</v>
      </c>
      <c r="S51" s="47">
        <f>ALL!AT57</f>
        <v>1523100</v>
      </c>
    </row>
    <row r="52" spans="1:19" ht="16.5" customHeight="1" x14ac:dyDescent="0.25">
      <c r="A52" s="23">
        <v>48</v>
      </c>
      <c r="B52" s="24" t="str">
        <f>ALL!C58</f>
        <v>Muhammad Miftakhur Rosyad</v>
      </c>
      <c r="C52" s="24"/>
      <c r="D52" s="24" t="s">
        <v>40</v>
      </c>
      <c r="E52" s="43">
        <v>75</v>
      </c>
      <c r="F52" s="43"/>
      <c r="G52" s="43"/>
      <c r="H52" s="44">
        <f>ALL!K58</f>
        <v>1280000</v>
      </c>
      <c r="I52" s="44">
        <f>ALL!L58</f>
        <v>0</v>
      </c>
      <c r="J52" s="45">
        <f>ALL!M58</f>
        <v>0</v>
      </c>
      <c r="K52" s="45">
        <f>ALL!N58</f>
        <v>0</v>
      </c>
      <c r="L52" s="44">
        <f>ALL!O58</f>
        <v>0</v>
      </c>
      <c r="M52" s="44">
        <f>ALL!P58</f>
        <v>0</v>
      </c>
      <c r="N52" s="12">
        <f>ALL!T58</f>
        <v>200200</v>
      </c>
      <c r="O52" s="44">
        <f>ALL!U58</f>
        <v>0</v>
      </c>
      <c r="P52" s="46">
        <f>ALL!Q58</f>
        <v>0</v>
      </c>
      <c r="Q52" s="46">
        <f>ALL!AF58</f>
        <v>0</v>
      </c>
      <c r="R52" s="46">
        <f>ALL!AS58</f>
        <v>0</v>
      </c>
      <c r="S52" s="47">
        <f>ALL!AT58</f>
        <v>1480200</v>
      </c>
    </row>
    <row r="53" spans="1:19" ht="16.5" customHeight="1" x14ac:dyDescent="0.25">
      <c r="A53" s="68"/>
      <c r="B53" s="52"/>
      <c r="C53" s="52"/>
      <c r="D53" s="52"/>
      <c r="E53" s="118"/>
      <c r="F53" s="118"/>
      <c r="G53" s="118"/>
      <c r="H53" s="119"/>
      <c r="I53" s="119"/>
      <c r="J53" s="120"/>
      <c r="K53" s="120"/>
      <c r="L53" s="119"/>
      <c r="M53" s="119"/>
      <c r="N53" s="79"/>
      <c r="O53" s="119"/>
      <c r="P53" s="49"/>
      <c r="Q53" s="49"/>
      <c r="R53" s="49"/>
      <c r="S53" s="204">
        <f>SUM(S5:S52)</f>
        <v>117894200</v>
      </c>
    </row>
    <row r="54" spans="1:19" ht="16.5" customHeight="1" x14ac:dyDescent="0.25">
      <c r="A54" s="75"/>
      <c r="B54" s="48"/>
      <c r="C54" s="48"/>
      <c r="D54" s="48"/>
      <c r="E54" s="48"/>
      <c r="F54" s="48"/>
      <c r="G54" s="48"/>
      <c r="H54" s="76"/>
      <c r="I54" s="48"/>
      <c r="J54" s="49"/>
      <c r="K54" s="49"/>
      <c r="L54" s="48"/>
      <c r="M54" s="48"/>
      <c r="N54" s="48"/>
      <c r="O54" s="48"/>
      <c r="P54" s="512" t="s">
        <v>489</v>
      </c>
      <c r="Q54" s="48"/>
      <c r="R54" s="48"/>
      <c r="S54" s="48"/>
    </row>
    <row r="55" spans="1:19" ht="16.5" customHeight="1" x14ac:dyDescent="0.25">
      <c r="A55" s="75"/>
      <c r="B55" s="48"/>
      <c r="C55" s="48"/>
      <c r="D55" s="48"/>
      <c r="E55" s="48"/>
      <c r="F55" s="48"/>
      <c r="G55" s="48"/>
      <c r="H55" s="76"/>
      <c r="I55" s="48"/>
      <c r="J55" s="49"/>
      <c r="K55" s="49"/>
      <c r="L55" s="48"/>
      <c r="M55" s="48"/>
      <c r="N55" s="48"/>
      <c r="O55" s="48"/>
      <c r="P55" s="162" t="s">
        <v>326</v>
      </c>
      <c r="Q55" s="48"/>
      <c r="R55" s="48"/>
      <c r="S55" s="48"/>
    </row>
    <row r="56" spans="1:19" ht="16.5" customHeight="1" x14ac:dyDescent="0.25">
      <c r="A56" s="75"/>
      <c r="B56" s="48"/>
      <c r="C56" s="48"/>
      <c r="D56" s="48"/>
      <c r="E56" s="48"/>
      <c r="F56" s="48"/>
      <c r="G56" s="48"/>
      <c r="H56" s="76"/>
      <c r="I56" s="48"/>
      <c r="J56" s="49"/>
      <c r="K56" s="49"/>
      <c r="L56" s="48"/>
      <c r="M56" s="48"/>
      <c r="N56" s="48"/>
      <c r="O56" s="48"/>
      <c r="P56" s="162" t="s">
        <v>325</v>
      </c>
      <c r="Q56" s="48"/>
      <c r="R56" s="48"/>
      <c r="S56" s="48"/>
    </row>
    <row r="57" spans="1:19" ht="16.5" customHeight="1" x14ac:dyDescent="0.25">
      <c r="A57" s="75"/>
      <c r="B57" s="48"/>
      <c r="C57" s="48"/>
      <c r="D57" s="48"/>
      <c r="E57" s="48"/>
      <c r="F57" s="48"/>
      <c r="G57" s="48"/>
      <c r="H57" s="76"/>
      <c r="I57" s="48"/>
      <c r="J57" s="49"/>
      <c r="K57" s="49"/>
      <c r="L57" s="48"/>
      <c r="M57" s="48"/>
      <c r="N57" s="48"/>
      <c r="O57" s="48"/>
      <c r="P57" s="162"/>
      <c r="Q57" s="48"/>
      <c r="R57" s="48"/>
      <c r="S57" s="48"/>
    </row>
    <row r="58" spans="1:19" x14ac:dyDescent="0.25">
      <c r="A58" s="48"/>
      <c r="B58" s="48"/>
      <c r="C58" s="48"/>
      <c r="D58" s="48"/>
      <c r="E58" s="48"/>
      <c r="F58" s="48"/>
      <c r="G58" s="48"/>
      <c r="H58" s="48"/>
      <c r="I58" s="48"/>
      <c r="J58" s="64"/>
      <c r="K58" s="64"/>
      <c r="L58" s="48"/>
      <c r="M58" s="48"/>
      <c r="N58" s="48"/>
      <c r="O58" s="48"/>
      <c r="P58" s="162"/>
      <c r="Q58" s="48"/>
      <c r="R58" s="48"/>
      <c r="S58" s="48"/>
    </row>
    <row r="59" spans="1:19" x14ac:dyDescent="0.25">
      <c r="A59" s="48"/>
      <c r="B59" s="48"/>
      <c r="C59" s="48"/>
      <c r="D59" s="48"/>
      <c r="E59" s="48"/>
      <c r="F59" s="48"/>
      <c r="G59" s="48"/>
      <c r="H59" s="48"/>
      <c r="I59" s="48"/>
      <c r="J59" s="64"/>
      <c r="K59" s="64"/>
      <c r="L59" s="48"/>
      <c r="M59" s="48"/>
      <c r="N59" s="48"/>
      <c r="O59" s="48"/>
      <c r="P59" s="163" t="s">
        <v>107</v>
      </c>
      <c r="Q59" s="48"/>
      <c r="R59" s="48"/>
      <c r="S59" s="48"/>
    </row>
    <row r="60" spans="1:19" x14ac:dyDescent="0.25">
      <c r="A60" s="48"/>
      <c r="B60" s="48"/>
      <c r="C60" s="48"/>
      <c r="D60" s="48"/>
      <c r="E60" s="48"/>
      <c r="F60" s="48"/>
      <c r="G60" s="48"/>
      <c r="H60" s="48"/>
      <c r="I60" s="48"/>
      <c r="J60" s="64"/>
      <c r="K60" s="64"/>
      <c r="L60" s="48"/>
      <c r="M60" s="48"/>
      <c r="N60" s="48"/>
      <c r="O60" s="48"/>
      <c r="P60" s="162"/>
      <c r="Q60" s="48"/>
      <c r="R60" s="48"/>
      <c r="S60" s="48"/>
    </row>
    <row r="61" spans="1:19" x14ac:dyDescent="0.25">
      <c r="A61" s="48"/>
      <c r="B61" s="48"/>
      <c r="C61" s="48"/>
      <c r="D61" s="48"/>
      <c r="E61" s="48"/>
      <c r="F61" s="48"/>
      <c r="G61" s="48"/>
      <c r="H61" s="48"/>
      <c r="I61" s="48"/>
      <c r="J61" s="64"/>
      <c r="K61" s="64"/>
      <c r="L61" s="48"/>
      <c r="M61" s="162" t="s">
        <v>324</v>
      </c>
      <c r="N61" s="64"/>
      <c r="O61" s="48"/>
      <c r="P61" s="162" t="s">
        <v>323</v>
      </c>
      <c r="Q61" s="48" t="s">
        <v>119</v>
      </c>
      <c r="R61" s="48"/>
      <c r="S61" s="48"/>
    </row>
    <row r="62" spans="1:19" x14ac:dyDescent="0.25">
      <c r="A62" s="48"/>
      <c r="B62" s="48"/>
      <c r="C62" s="48"/>
      <c r="D62" s="48"/>
      <c r="E62" s="48"/>
      <c r="F62" s="48"/>
      <c r="G62" s="48"/>
      <c r="H62" s="48"/>
      <c r="I62" s="48"/>
      <c r="J62" s="64"/>
      <c r="K62" s="64"/>
      <c r="L62" s="48"/>
      <c r="M62" s="162" t="s">
        <v>121</v>
      </c>
      <c r="N62" s="64"/>
      <c r="O62" s="48"/>
      <c r="P62" s="162" t="s">
        <v>322</v>
      </c>
      <c r="Q62" s="48"/>
      <c r="R62" s="48"/>
      <c r="S62" s="48"/>
    </row>
    <row r="63" spans="1:19" x14ac:dyDescent="0.25">
      <c r="A63" s="48"/>
      <c r="B63" s="48"/>
      <c r="C63" s="48"/>
      <c r="D63" s="48"/>
      <c r="E63" s="48"/>
      <c r="F63" s="48"/>
      <c r="G63" s="48"/>
      <c r="H63" s="48"/>
      <c r="I63" s="48"/>
      <c r="J63" s="64"/>
      <c r="K63" s="64"/>
      <c r="L63" s="48"/>
      <c r="M63" s="162"/>
      <c r="N63" s="64"/>
      <c r="O63" s="48"/>
      <c r="P63" s="162"/>
      <c r="Q63" s="48"/>
      <c r="R63" s="48"/>
      <c r="S63" s="48"/>
    </row>
    <row r="64" spans="1:19" x14ac:dyDescent="0.25">
      <c r="A64" s="48"/>
      <c r="B64" s="48"/>
      <c r="C64" s="48"/>
      <c r="D64" s="48"/>
      <c r="E64" s="48"/>
      <c r="F64" s="48"/>
      <c r="G64" s="48"/>
      <c r="H64" s="48"/>
      <c r="I64" s="48"/>
      <c r="J64" s="64"/>
      <c r="K64" s="64"/>
      <c r="L64" s="48"/>
      <c r="M64" s="162"/>
      <c r="N64" s="64"/>
      <c r="O64" s="48"/>
      <c r="P64" s="162"/>
      <c r="Q64" s="64"/>
      <c r="R64" s="64"/>
      <c r="S64" s="48"/>
    </row>
    <row r="65" spans="1:19" x14ac:dyDescent="0.25">
      <c r="A65" s="48"/>
      <c r="B65" s="48"/>
      <c r="C65" s="48"/>
      <c r="D65" s="48"/>
      <c r="E65" s="48"/>
      <c r="F65" s="48"/>
      <c r="G65" s="48"/>
      <c r="H65" s="48"/>
      <c r="I65" s="48"/>
      <c r="J65" s="64"/>
      <c r="K65" s="64"/>
      <c r="L65" s="48"/>
      <c r="M65" s="163" t="s">
        <v>327</v>
      </c>
      <c r="N65" s="1"/>
      <c r="O65" s="48"/>
      <c r="P65" s="163" t="s">
        <v>106</v>
      </c>
      <c r="Q65" s="64"/>
      <c r="R65" s="64"/>
      <c r="S65" s="48"/>
    </row>
    <row r="66" spans="1:19" x14ac:dyDescent="0.25">
      <c r="A66" s="48"/>
      <c r="B66" s="48"/>
      <c r="C66" s="48"/>
      <c r="D66" s="48"/>
      <c r="E66" s="48"/>
      <c r="F66" s="48"/>
      <c r="G66" s="48"/>
      <c r="H66" s="48"/>
      <c r="I66" s="48"/>
      <c r="J66" s="64"/>
      <c r="K66" s="64"/>
      <c r="L66" s="48"/>
      <c r="M66" s="163"/>
      <c r="N66" s="1"/>
      <c r="O66" s="48"/>
      <c r="P66" s="82"/>
      <c r="Q66" s="64"/>
      <c r="R66" s="64"/>
      <c r="S66" s="48"/>
    </row>
    <row r="67" spans="1:19" x14ac:dyDescent="0.25">
      <c r="A67" s="48"/>
      <c r="B67" s="48"/>
      <c r="C67" s="48"/>
      <c r="D67" s="48"/>
      <c r="E67" s="48"/>
      <c r="F67" s="48"/>
      <c r="G67" s="48"/>
      <c r="H67" s="48"/>
      <c r="I67" s="48"/>
      <c r="J67" s="64"/>
      <c r="K67" s="64"/>
      <c r="L67" s="48"/>
      <c r="M67" s="48"/>
      <c r="N67" s="48"/>
      <c r="O67" s="48"/>
      <c r="P67" s="162"/>
      <c r="Q67" s="64"/>
      <c r="R67" s="64"/>
      <c r="S67" s="48"/>
    </row>
    <row r="68" spans="1:19" x14ac:dyDescent="0.25">
      <c r="A68" s="48"/>
      <c r="B68" s="48"/>
      <c r="C68" s="48"/>
      <c r="D68" s="48"/>
      <c r="E68" s="48"/>
      <c r="F68" s="48"/>
      <c r="G68" s="48"/>
      <c r="H68" s="48"/>
      <c r="I68" s="48"/>
      <c r="J68" s="64"/>
      <c r="K68" s="64"/>
      <c r="L68" s="48"/>
      <c r="M68" s="48"/>
      <c r="N68" s="48"/>
      <c r="O68" s="48"/>
      <c r="P68" s="162"/>
      <c r="Q68" s="64"/>
      <c r="R68" s="64"/>
      <c r="S68" s="48"/>
    </row>
    <row r="69" spans="1:19" x14ac:dyDescent="0.25">
      <c r="A69" s="48"/>
      <c r="B69" s="48"/>
      <c r="C69" s="48"/>
      <c r="D69" s="48"/>
      <c r="E69" s="48"/>
      <c r="F69" s="48"/>
      <c r="G69" s="48"/>
      <c r="H69" s="48"/>
      <c r="I69" s="48"/>
      <c r="J69" s="64"/>
      <c r="K69" s="64"/>
      <c r="L69" s="48"/>
      <c r="M69" s="48"/>
      <c r="N69" s="48"/>
      <c r="O69" s="48"/>
      <c r="P69" s="162"/>
      <c r="Q69" s="64"/>
      <c r="R69" s="64"/>
      <c r="S69" s="48"/>
    </row>
    <row r="70" spans="1:19" x14ac:dyDescent="0.25">
      <c r="A70" s="48"/>
      <c r="B70" s="48"/>
      <c r="C70" s="48"/>
      <c r="D70" s="48"/>
      <c r="E70" s="48"/>
      <c r="F70" s="48"/>
      <c r="G70" s="48"/>
      <c r="H70" s="48"/>
      <c r="I70" s="48"/>
      <c r="J70" s="64"/>
      <c r="K70" s="64"/>
      <c r="L70" s="48"/>
      <c r="M70" s="48"/>
      <c r="N70" s="48"/>
      <c r="O70" s="48"/>
      <c r="P70" s="162"/>
      <c r="Q70" s="64"/>
      <c r="R70" s="64"/>
      <c r="S70" s="48"/>
    </row>
    <row r="71" spans="1:19" x14ac:dyDescent="0.25">
      <c r="P71" s="163"/>
    </row>
  </sheetData>
  <mergeCells count="3">
    <mergeCell ref="A1:Q1"/>
    <mergeCell ref="A2:Q2"/>
    <mergeCell ref="R1:S1"/>
  </mergeCells>
  <printOptions horizontalCentered="1"/>
  <pageMargins left="0.23622047244094499" right="0.23622047244094499" top="0.74803149606299202" bottom="0.74803149606299202" header="0.31496062992126" footer="0.31496062992126"/>
  <pageSetup paperSize="10000" scale="80" orientation="landscape" horizontalDpi="360" verticalDpi="360" r:id="rId1"/>
  <rowBreaks count="1" manualBreakCount="1">
    <brk id="32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6"/>
  <sheetViews>
    <sheetView view="pageBreakPreview" zoomScale="75" zoomScaleNormal="87" zoomScaleSheetLayoutView="75" workbookViewId="0">
      <selection activeCell="A7" sqref="A7"/>
    </sheetView>
  </sheetViews>
  <sheetFormatPr defaultRowHeight="15" x14ac:dyDescent="0.25"/>
  <cols>
    <col min="1" max="1" width="5.7109375" customWidth="1"/>
    <col min="2" max="2" width="23.85546875" customWidth="1"/>
    <col min="3" max="3" width="9.140625" hidden="1" customWidth="1"/>
    <col min="4" max="4" width="22" hidden="1" customWidth="1"/>
    <col min="5" max="7" width="9.140625" hidden="1" customWidth="1"/>
    <col min="8" max="8" width="14.85546875" customWidth="1"/>
    <col min="9" max="9" width="11.5703125" customWidth="1"/>
    <col min="10" max="10" width="10.7109375" customWidth="1"/>
    <col min="11" max="11" width="12.5703125" customWidth="1"/>
    <col min="12" max="12" width="11.28515625" customWidth="1"/>
    <col min="13" max="13" width="10.28515625" customWidth="1"/>
    <col min="14" max="14" width="10.7109375" customWidth="1"/>
    <col min="15" max="15" width="11.85546875" bestFit="1" customWidth="1"/>
    <col min="16" max="17" width="11.85546875" customWidth="1"/>
    <col min="18" max="18" width="20.42578125" customWidth="1"/>
  </cols>
  <sheetData>
    <row r="1" spans="1:18" ht="15.75" x14ac:dyDescent="0.25">
      <c r="A1" s="543" t="s">
        <v>120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4" t="s">
        <v>488</v>
      </c>
      <c r="R1" s="544"/>
    </row>
    <row r="2" spans="1:18" ht="15.75" x14ac:dyDescent="0.25">
      <c r="A2" s="543" t="s">
        <v>491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156"/>
      <c r="R2" s="156"/>
    </row>
    <row r="3" spans="1:18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18" ht="44.25" customHeight="1" x14ac:dyDescent="0.25">
      <c r="A4" s="6" t="s">
        <v>0</v>
      </c>
      <c r="B4" s="6" t="s">
        <v>1</v>
      </c>
      <c r="C4" s="6" t="s">
        <v>2</v>
      </c>
      <c r="D4" s="6" t="s">
        <v>3</v>
      </c>
      <c r="E4" s="8" t="s">
        <v>4</v>
      </c>
      <c r="F4" s="8" t="s">
        <v>5</v>
      </c>
      <c r="G4" s="8" t="s">
        <v>6</v>
      </c>
      <c r="H4" s="9" t="s">
        <v>7</v>
      </c>
      <c r="I4" s="6" t="s">
        <v>8</v>
      </c>
      <c r="J4" s="6" t="s">
        <v>84</v>
      </c>
      <c r="K4" s="6" t="s">
        <v>9</v>
      </c>
      <c r="L4" s="6" t="s">
        <v>10</v>
      </c>
      <c r="M4" s="6" t="s">
        <v>11</v>
      </c>
      <c r="N4" s="6" t="s">
        <v>12</v>
      </c>
      <c r="O4" s="6" t="s">
        <v>102</v>
      </c>
      <c r="P4" s="6" t="s">
        <v>25</v>
      </c>
      <c r="Q4" s="6" t="s">
        <v>124</v>
      </c>
      <c r="R4" s="6" t="s">
        <v>15</v>
      </c>
    </row>
    <row r="5" spans="1:18" x14ac:dyDescent="0.25">
      <c r="A5" s="23">
        <v>1</v>
      </c>
      <c r="B5" s="24" t="str">
        <f>ALL!C59</f>
        <v>Aminatul Munawwaroh Al Hafidhoh</v>
      </c>
      <c r="C5" s="24"/>
      <c r="D5" s="24" t="s">
        <v>71</v>
      </c>
      <c r="E5" s="43"/>
      <c r="F5" s="43">
        <v>30</v>
      </c>
      <c r="G5" s="43">
        <f>SUM(F5*4)</f>
        <v>120</v>
      </c>
      <c r="H5" s="44">
        <f>ALL!K59</f>
        <v>1730000</v>
      </c>
      <c r="I5" s="50">
        <f>ALL!L59</f>
        <v>300000</v>
      </c>
      <c r="J5" s="44">
        <f>ALL!M59</f>
        <v>100000</v>
      </c>
      <c r="K5" s="44">
        <f>ALL!N59</f>
        <v>86500</v>
      </c>
      <c r="L5" s="44">
        <f>ALL!O59</f>
        <v>69200</v>
      </c>
      <c r="M5" s="44">
        <f>ALL!P59</f>
        <v>32500</v>
      </c>
      <c r="N5" s="12">
        <f>ALL!T59</f>
        <v>121000</v>
      </c>
      <c r="O5" s="44">
        <f>ALL!U59</f>
        <v>0</v>
      </c>
      <c r="P5" s="44">
        <f>ALL!AF59</f>
        <v>0</v>
      </c>
      <c r="Q5" s="44">
        <f>ALL!AS59</f>
        <v>0</v>
      </c>
      <c r="R5" s="51">
        <f>ALL!AT59</f>
        <v>2439200</v>
      </c>
    </row>
    <row r="6" spans="1:18" x14ac:dyDescent="0.25">
      <c r="A6" s="23">
        <v>2</v>
      </c>
      <c r="B6" s="24" t="str">
        <f>ALL!C60</f>
        <v>Mufrotul Ulum</v>
      </c>
      <c r="C6" s="24"/>
      <c r="D6" s="24" t="s">
        <v>71</v>
      </c>
      <c r="E6" s="43"/>
      <c r="F6" s="43">
        <v>31</v>
      </c>
      <c r="G6" s="43">
        <f t="shared" ref="G6:G19" si="0">SUM(F6*4)</f>
        <v>124</v>
      </c>
      <c r="H6" s="44">
        <f>ALL!K60</f>
        <v>1730000</v>
      </c>
      <c r="I6" s="50">
        <f>ALL!L60</f>
        <v>100000</v>
      </c>
      <c r="J6" s="44">
        <f>ALL!M60</f>
        <v>50000</v>
      </c>
      <c r="K6" s="44">
        <f>ALL!N60</f>
        <v>86500</v>
      </c>
      <c r="L6" s="44">
        <f>ALL!O60</f>
        <v>69200</v>
      </c>
      <c r="M6" s="44">
        <f>ALL!P60</f>
        <v>32500</v>
      </c>
      <c r="N6" s="12">
        <f>ALL!T60</f>
        <v>200200</v>
      </c>
      <c r="O6" s="44">
        <f>ALL!U60</f>
        <v>136000</v>
      </c>
      <c r="P6" s="44">
        <f>ALL!AF60</f>
        <v>0</v>
      </c>
      <c r="Q6" s="44">
        <f>ALL!AS60</f>
        <v>0</v>
      </c>
      <c r="R6" s="51">
        <f>ALL!AT60</f>
        <v>2404400</v>
      </c>
    </row>
    <row r="7" spans="1:18" x14ac:dyDescent="0.25">
      <c r="A7" s="23">
        <v>3</v>
      </c>
      <c r="B7" s="24" t="str">
        <f>ALL!C61</f>
        <v>Nor Umaroh, S.Sy</v>
      </c>
      <c r="C7" s="24"/>
      <c r="D7" s="24" t="s">
        <v>71</v>
      </c>
      <c r="E7" s="43"/>
      <c r="F7" s="43">
        <v>32</v>
      </c>
      <c r="G7" s="43">
        <f t="shared" si="0"/>
        <v>128</v>
      </c>
      <c r="H7" s="44">
        <f>ALL!K61</f>
        <v>1730000</v>
      </c>
      <c r="I7" s="50">
        <f>ALL!L61</f>
        <v>0</v>
      </c>
      <c r="J7" s="44">
        <f>ALL!M61</f>
        <v>100000</v>
      </c>
      <c r="K7" s="44">
        <f>ALL!N61</f>
        <v>86500</v>
      </c>
      <c r="L7" s="44">
        <f>ALL!O61</f>
        <v>69200</v>
      </c>
      <c r="M7" s="44">
        <f>ALL!P61</f>
        <v>32500</v>
      </c>
      <c r="N7" s="12">
        <f>ALL!T61</f>
        <v>121000</v>
      </c>
      <c r="O7" s="44">
        <f>ALL!U61</f>
        <v>0</v>
      </c>
      <c r="P7" s="44">
        <f>ALL!AF61</f>
        <v>0</v>
      </c>
      <c r="Q7" s="44">
        <f>ALL!AS61</f>
        <v>0</v>
      </c>
      <c r="R7" s="51">
        <f>ALL!AT61</f>
        <v>2139200</v>
      </c>
    </row>
    <row r="8" spans="1:18" x14ac:dyDescent="0.25">
      <c r="A8" s="23">
        <v>4</v>
      </c>
      <c r="B8" s="24" t="str">
        <f>ALL!C62</f>
        <v>Umi Hanik</v>
      </c>
      <c r="C8" s="24"/>
      <c r="D8" s="24" t="s">
        <v>71</v>
      </c>
      <c r="E8" s="43"/>
      <c r="F8" s="43">
        <v>33</v>
      </c>
      <c r="G8" s="43">
        <f t="shared" si="0"/>
        <v>132</v>
      </c>
      <c r="H8" s="44">
        <f>ALL!K62</f>
        <v>1730000</v>
      </c>
      <c r="I8" s="50">
        <f>ALL!L62</f>
        <v>0</v>
      </c>
      <c r="J8" s="44">
        <f>ALL!M62</f>
        <v>100000</v>
      </c>
      <c r="K8" s="44">
        <f>ALL!N62</f>
        <v>86500</v>
      </c>
      <c r="L8" s="44">
        <f>ALL!O62</f>
        <v>34600</v>
      </c>
      <c r="M8" s="44">
        <f>ALL!P62</f>
        <v>32500</v>
      </c>
      <c r="N8" s="12">
        <f>ALL!T62</f>
        <v>121000</v>
      </c>
      <c r="O8" s="44">
        <f>ALL!U62</f>
        <v>0</v>
      </c>
      <c r="P8" s="44">
        <f>ALL!AF62</f>
        <v>0</v>
      </c>
      <c r="Q8" s="44">
        <f>ALL!AS62</f>
        <v>0</v>
      </c>
      <c r="R8" s="51">
        <f>ALL!AT62</f>
        <v>2104600</v>
      </c>
    </row>
    <row r="9" spans="1:18" x14ac:dyDescent="0.25">
      <c r="A9" s="23">
        <v>5</v>
      </c>
      <c r="B9" s="24" t="str">
        <f>ALL!C63</f>
        <v>Wahyuti, Al Hafidhoh</v>
      </c>
      <c r="C9" s="24"/>
      <c r="D9" s="24" t="s">
        <v>71</v>
      </c>
      <c r="E9" s="43"/>
      <c r="F9" s="43">
        <v>34</v>
      </c>
      <c r="G9" s="43">
        <f t="shared" si="0"/>
        <v>136</v>
      </c>
      <c r="H9" s="44">
        <f>ALL!K63</f>
        <v>1730000</v>
      </c>
      <c r="I9" s="50">
        <f>ALL!L63</f>
        <v>0</v>
      </c>
      <c r="J9" s="44">
        <f>ALL!M63</f>
        <v>50000</v>
      </c>
      <c r="K9" s="44">
        <f>ALL!N63</f>
        <v>86500</v>
      </c>
      <c r="L9" s="44">
        <f>ALL!O63</f>
        <v>0</v>
      </c>
      <c r="M9" s="44">
        <f>ALL!P63</f>
        <v>32500</v>
      </c>
      <c r="N9" s="12">
        <f>ALL!T63</f>
        <v>242000</v>
      </c>
      <c r="O9" s="44">
        <f>ALL!U63</f>
        <v>0</v>
      </c>
      <c r="P9" s="44">
        <f>ALL!AF63</f>
        <v>0</v>
      </c>
      <c r="Q9" s="44">
        <f>ALL!AS63</f>
        <v>0</v>
      </c>
      <c r="R9" s="51">
        <f>ALL!AT63</f>
        <v>2141000</v>
      </c>
    </row>
    <row r="10" spans="1:18" x14ac:dyDescent="0.25">
      <c r="A10" s="23">
        <v>6</v>
      </c>
      <c r="B10" s="24" t="str">
        <f>ALL!C64</f>
        <v>Shoutul Hidayah Al Hafidhoh</v>
      </c>
      <c r="C10" s="24"/>
      <c r="D10" s="24" t="s">
        <v>71</v>
      </c>
      <c r="E10" s="43"/>
      <c r="F10" s="43">
        <v>35</v>
      </c>
      <c r="G10" s="43">
        <f t="shared" si="0"/>
        <v>140</v>
      </c>
      <c r="H10" s="44">
        <f>ALL!K64</f>
        <v>1730000</v>
      </c>
      <c r="I10" s="50">
        <f>ALL!L64</f>
        <v>0</v>
      </c>
      <c r="J10" s="44">
        <f>ALL!M64</f>
        <v>100000</v>
      </c>
      <c r="K10" s="44">
        <f>ALL!N64</f>
        <v>86500</v>
      </c>
      <c r="L10" s="44">
        <f>ALL!O64</f>
        <v>69200</v>
      </c>
      <c r="M10" s="44">
        <f>ALL!P64</f>
        <v>32500</v>
      </c>
      <c r="N10" s="12">
        <f>ALL!T64</f>
        <v>286000</v>
      </c>
      <c r="O10" s="44">
        <f>ALL!U64</f>
        <v>136000</v>
      </c>
      <c r="P10" s="44">
        <f>ALL!AF64</f>
        <v>0</v>
      </c>
      <c r="Q10" s="44">
        <f>ALL!AS64</f>
        <v>0</v>
      </c>
      <c r="R10" s="51">
        <f>ALL!AT64</f>
        <v>2440200</v>
      </c>
    </row>
    <row r="11" spans="1:18" x14ac:dyDescent="0.25">
      <c r="A11" s="23">
        <v>7</v>
      </c>
      <c r="B11" s="24" t="str">
        <f>ALL!C65</f>
        <v>Alfi Syafa'atin Al Hafidhoh</v>
      </c>
      <c r="C11" s="24"/>
      <c r="D11" s="24" t="s">
        <v>71</v>
      </c>
      <c r="E11" s="43"/>
      <c r="F11" s="43">
        <v>36</v>
      </c>
      <c r="G11" s="43">
        <f t="shared" si="0"/>
        <v>144</v>
      </c>
      <c r="H11" s="44">
        <f>ALL!K65</f>
        <v>1730000</v>
      </c>
      <c r="I11" s="50">
        <f>ALL!L65</f>
        <v>0</v>
      </c>
      <c r="J11" s="44">
        <f>ALL!M65</f>
        <v>50000</v>
      </c>
      <c r="K11" s="44">
        <f>ALL!N65</f>
        <v>86500</v>
      </c>
      <c r="L11" s="44">
        <f>ALL!O65</f>
        <v>0</v>
      </c>
      <c r="M11" s="44">
        <f>ALL!P65</f>
        <v>32500</v>
      </c>
      <c r="N11" s="12">
        <f>ALL!T65</f>
        <v>242000</v>
      </c>
      <c r="O11" s="44">
        <f>ALL!U65</f>
        <v>68000</v>
      </c>
      <c r="P11" s="44">
        <f>ALL!AF65</f>
        <v>0</v>
      </c>
      <c r="Q11" s="44">
        <f>ALL!AS65</f>
        <v>0</v>
      </c>
      <c r="R11" s="51">
        <f>ALL!AT65</f>
        <v>2209000</v>
      </c>
    </row>
    <row r="12" spans="1:18" x14ac:dyDescent="0.25">
      <c r="A12" s="23">
        <v>8</v>
      </c>
      <c r="B12" s="24" t="str">
        <f>ALL!C66</f>
        <v>Ulya Nailus Saadah Al Hafidhoh</v>
      </c>
      <c r="C12" s="24"/>
      <c r="D12" s="24" t="s">
        <v>71</v>
      </c>
      <c r="E12" s="43"/>
      <c r="F12" s="43">
        <v>37</v>
      </c>
      <c r="G12" s="43">
        <f t="shared" si="0"/>
        <v>148</v>
      </c>
      <c r="H12" s="44">
        <f>ALL!K66</f>
        <v>1730000</v>
      </c>
      <c r="I12" s="50">
        <f>ALL!L66</f>
        <v>0</v>
      </c>
      <c r="J12" s="44">
        <f>ALL!M66</f>
        <v>50000</v>
      </c>
      <c r="K12" s="44">
        <f>ALL!N66</f>
        <v>86500</v>
      </c>
      <c r="L12" s="44">
        <f>ALL!O66</f>
        <v>34600</v>
      </c>
      <c r="M12" s="44">
        <f>ALL!P66</f>
        <v>32500</v>
      </c>
      <c r="N12" s="12">
        <f>ALL!T66</f>
        <v>81400</v>
      </c>
      <c r="O12" s="44">
        <f>ALL!U66</f>
        <v>0</v>
      </c>
      <c r="P12" s="44">
        <f>ALL!AF66</f>
        <v>0</v>
      </c>
      <c r="Q12" s="44">
        <f>ALL!AS66</f>
        <v>0</v>
      </c>
      <c r="R12" s="51">
        <f>ALL!AT66</f>
        <v>2015000</v>
      </c>
    </row>
    <row r="13" spans="1:18" x14ac:dyDescent="0.25">
      <c r="A13" s="23">
        <v>9</v>
      </c>
      <c r="B13" s="24" t="str">
        <f>ALL!C67</f>
        <v>Rochmatun, S.Sy</v>
      </c>
      <c r="C13" s="24"/>
      <c r="D13" s="24" t="s">
        <v>71</v>
      </c>
      <c r="E13" s="43"/>
      <c r="F13" s="43">
        <v>38</v>
      </c>
      <c r="G13" s="43">
        <f t="shared" si="0"/>
        <v>152</v>
      </c>
      <c r="H13" s="44">
        <f>ALL!K67</f>
        <v>1730000</v>
      </c>
      <c r="I13" s="50">
        <f>ALL!L67</f>
        <v>0</v>
      </c>
      <c r="J13" s="44">
        <f>ALL!M67</f>
        <v>50000</v>
      </c>
      <c r="K13" s="44">
        <f>ALL!N67</f>
        <v>86500</v>
      </c>
      <c r="L13" s="44">
        <f>ALL!O67</f>
        <v>69200</v>
      </c>
      <c r="M13" s="44">
        <f>ALL!P67</f>
        <v>32500</v>
      </c>
      <c r="N13" s="12">
        <f>ALL!T67</f>
        <v>121000</v>
      </c>
      <c r="O13" s="44">
        <f>ALL!U67</f>
        <v>0</v>
      </c>
      <c r="P13" s="44">
        <f>ALL!AF67</f>
        <v>0</v>
      </c>
      <c r="Q13" s="44">
        <f>ALL!AS67</f>
        <v>0</v>
      </c>
      <c r="R13" s="51">
        <f>ALL!AT67</f>
        <v>2089200</v>
      </c>
    </row>
    <row r="14" spans="1:18" x14ac:dyDescent="0.25">
      <c r="A14" s="23">
        <v>10</v>
      </c>
      <c r="B14" s="24" t="str">
        <f>ALL!C68</f>
        <v>Zeni Nur Lathifah, S.Ag Al Hafidhoh</v>
      </c>
      <c r="C14" s="24"/>
      <c r="D14" s="24" t="s">
        <v>71</v>
      </c>
      <c r="E14" s="43"/>
      <c r="F14" s="43">
        <v>39</v>
      </c>
      <c r="G14" s="43">
        <f t="shared" si="0"/>
        <v>156</v>
      </c>
      <c r="H14" s="44">
        <f>ALL!K68</f>
        <v>1730000</v>
      </c>
      <c r="I14" s="50">
        <f>ALL!L68</f>
        <v>0</v>
      </c>
      <c r="J14" s="44">
        <f>ALL!M68</f>
        <v>50000</v>
      </c>
      <c r="K14" s="44">
        <f>ALL!N68</f>
        <v>86500</v>
      </c>
      <c r="L14" s="44">
        <f>ALL!O68</f>
        <v>0</v>
      </c>
      <c r="M14" s="44">
        <f>ALL!P68</f>
        <v>32500</v>
      </c>
      <c r="N14" s="12">
        <f>ALL!T68</f>
        <v>286000</v>
      </c>
      <c r="O14" s="44">
        <f>ALL!U68</f>
        <v>0</v>
      </c>
      <c r="P14" s="44">
        <f>ALL!AF68</f>
        <v>0</v>
      </c>
      <c r="Q14" s="44">
        <f>ALL!AS68</f>
        <v>0</v>
      </c>
      <c r="R14" s="51">
        <f>ALL!AT68</f>
        <v>2185000</v>
      </c>
    </row>
    <row r="15" spans="1:18" x14ac:dyDescent="0.25">
      <c r="A15" s="23">
        <v>11</v>
      </c>
      <c r="B15" s="24" t="str">
        <f>ALL!C69</f>
        <v>M. Zaim Darojat, S.Pd Al hafidz</v>
      </c>
      <c r="C15" s="24"/>
      <c r="D15" s="24" t="s">
        <v>71</v>
      </c>
      <c r="E15" s="43"/>
      <c r="F15" s="43">
        <v>40</v>
      </c>
      <c r="G15" s="43">
        <f t="shared" si="0"/>
        <v>160</v>
      </c>
      <c r="H15" s="44">
        <f>ALL!K69</f>
        <v>1730000</v>
      </c>
      <c r="I15" s="50">
        <f>ALL!L69</f>
        <v>0</v>
      </c>
      <c r="J15" s="44">
        <f>ALL!M69</f>
        <v>50000</v>
      </c>
      <c r="K15" s="44">
        <f>ALL!N69</f>
        <v>86500</v>
      </c>
      <c r="L15" s="44">
        <f>ALL!O69</f>
        <v>34600</v>
      </c>
      <c r="M15" s="44">
        <f>ALL!P69</f>
        <v>32500</v>
      </c>
      <c r="N15" s="12">
        <f>ALL!T69</f>
        <v>286000</v>
      </c>
      <c r="O15" s="44">
        <f>ALL!U69</f>
        <v>0</v>
      </c>
      <c r="P15" s="44">
        <f>ALL!AF69</f>
        <v>0</v>
      </c>
      <c r="Q15" s="44">
        <f>ALL!AS69</f>
        <v>0</v>
      </c>
      <c r="R15" s="51">
        <f>ALL!AT69</f>
        <v>2219600</v>
      </c>
    </row>
    <row r="16" spans="1:18" x14ac:dyDescent="0.25">
      <c r="A16" s="23">
        <v>12</v>
      </c>
      <c r="B16" s="24" t="str">
        <f>ALL!C70</f>
        <v>A. Syehmi Samchan</v>
      </c>
      <c r="C16" s="24"/>
      <c r="D16" s="24" t="s">
        <v>71</v>
      </c>
      <c r="E16" s="43"/>
      <c r="F16" s="43">
        <v>41</v>
      </c>
      <c r="G16" s="43">
        <f t="shared" si="0"/>
        <v>164</v>
      </c>
      <c r="H16" s="44">
        <f>ALL!K70</f>
        <v>1730000</v>
      </c>
      <c r="I16" s="50">
        <f>ALL!L70</f>
        <v>0</v>
      </c>
      <c r="J16" s="44">
        <f>ALL!M70</f>
        <v>0</v>
      </c>
      <c r="K16" s="44">
        <f>ALL!N70</f>
        <v>0</v>
      </c>
      <c r="L16" s="44">
        <f>ALL!O70</f>
        <v>0</v>
      </c>
      <c r="M16" s="44">
        <f>ALL!P70</f>
        <v>0</v>
      </c>
      <c r="N16" s="12">
        <f>ALL!T70</f>
        <v>121000</v>
      </c>
      <c r="O16" s="44">
        <f>ALL!U70</f>
        <v>68000</v>
      </c>
      <c r="P16" s="44">
        <f>ALL!AF70</f>
        <v>0</v>
      </c>
      <c r="Q16" s="44">
        <f>ALL!AS70</f>
        <v>0</v>
      </c>
      <c r="R16" s="51">
        <f>ALL!AT70</f>
        <v>1919000</v>
      </c>
    </row>
    <row r="17" spans="1:18" x14ac:dyDescent="0.25">
      <c r="A17" s="23">
        <v>13</v>
      </c>
      <c r="B17" s="24" t="str">
        <f>ALL!C71</f>
        <v>Khotimatul Khusna, S.Pd.I</v>
      </c>
      <c r="C17" s="24"/>
      <c r="D17" s="24" t="s">
        <v>71</v>
      </c>
      <c r="E17" s="43"/>
      <c r="F17" s="43">
        <v>42</v>
      </c>
      <c r="G17" s="43">
        <f t="shared" si="0"/>
        <v>168</v>
      </c>
      <c r="H17" s="44">
        <f>ALL!K71</f>
        <v>0</v>
      </c>
      <c r="I17" s="50">
        <f>ALL!L71</f>
        <v>0</v>
      </c>
      <c r="J17" s="44">
        <f>ALL!M71</f>
        <v>0</v>
      </c>
      <c r="K17" s="44">
        <f>ALL!N71</f>
        <v>0</v>
      </c>
      <c r="L17" s="44">
        <f>ALL!O71</f>
        <v>0</v>
      </c>
      <c r="M17" s="44">
        <f>ALL!P71</f>
        <v>0</v>
      </c>
      <c r="N17" s="12">
        <f>ALL!T71</f>
        <v>65000</v>
      </c>
      <c r="O17" s="44">
        <f>ALL!U71</f>
        <v>150000</v>
      </c>
      <c r="P17" s="44">
        <f>ALL!AF71</f>
        <v>73527</v>
      </c>
      <c r="Q17" s="44">
        <f>ALL!AS71</f>
        <v>0</v>
      </c>
      <c r="R17" s="51">
        <f>ALL!AT71</f>
        <v>288527</v>
      </c>
    </row>
    <row r="18" spans="1:18" x14ac:dyDescent="0.25">
      <c r="A18" s="23">
        <v>14</v>
      </c>
      <c r="B18" s="24" t="str">
        <f>ALL!C72</f>
        <v>Zulfaa, S.Ag</v>
      </c>
      <c r="C18" s="24"/>
      <c r="D18" s="24" t="s">
        <v>71</v>
      </c>
      <c r="E18" s="43"/>
      <c r="F18" s="43">
        <v>43</v>
      </c>
      <c r="G18" s="43">
        <f t="shared" si="0"/>
        <v>172</v>
      </c>
      <c r="H18" s="44">
        <f>ALL!K72</f>
        <v>0</v>
      </c>
      <c r="I18" s="50">
        <f>ALL!L72</f>
        <v>0</v>
      </c>
      <c r="J18" s="44">
        <f>ALL!M72</f>
        <v>0</v>
      </c>
      <c r="K18" s="44">
        <f>ALL!N72</f>
        <v>0</v>
      </c>
      <c r="L18" s="44">
        <f>ALL!O72</f>
        <v>0</v>
      </c>
      <c r="M18" s="44">
        <f>ALL!P72</f>
        <v>0</v>
      </c>
      <c r="N18" s="12">
        <f>ALL!T72</f>
        <v>18500</v>
      </c>
      <c r="O18" s="44">
        <f>ALL!U72</f>
        <v>150000</v>
      </c>
      <c r="P18" s="44">
        <f>ALL!AF72</f>
        <v>0</v>
      </c>
      <c r="Q18" s="44">
        <f>ALL!AS72</f>
        <v>0</v>
      </c>
      <c r="R18" s="51">
        <f>ALL!AT72</f>
        <v>168500</v>
      </c>
    </row>
    <row r="19" spans="1:18" x14ac:dyDescent="0.25">
      <c r="A19" s="23">
        <v>15</v>
      </c>
      <c r="B19" s="24" t="str">
        <f>ALL!C73</f>
        <v>Abdulloh Hafidh</v>
      </c>
      <c r="C19" s="24"/>
      <c r="D19" s="24" t="s">
        <v>71</v>
      </c>
      <c r="E19" s="43"/>
      <c r="F19" s="43">
        <v>44</v>
      </c>
      <c r="G19" s="43">
        <f t="shared" si="0"/>
        <v>176</v>
      </c>
      <c r="H19" s="44">
        <f>ALL!K73</f>
        <v>0</v>
      </c>
      <c r="I19" s="50">
        <f>ALL!L73</f>
        <v>0</v>
      </c>
      <c r="J19" s="44">
        <f>ALL!M73</f>
        <v>0</v>
      </c>
      <c r="K19" s="44">
        <f>ALL!N73</f>
        <v>0</v>
      </c>
      <c r="L19" s="44">
        <f>ALL!O73</f>
        <v>0</v>
      </c>
      <c r="M19" s="44">
        <f>ALL!P73</f>
        <v>0</v>
      </c>
      <c r="N19" s="12">
        <f>ALL!T73</f>
        <v>0</v>
      </c>
      <c r="O19" s="44">
        <f>ALL!U73</f>
        <v>400000</v>
      </c>
      <c r="P19" s="44">
        <f>ALL!AF73</f>
        <v>0</v>
      </c>
      <c r="Q19" s="44">
        <f>ALL!AS73</f>
        <v>0</v>
      </c>
      <c r="R19" s="51">
        <f>ALL!AT73</f>
        <v>400000</v>
      </c>
    </row>
    <row r="20" spans="1:18" x14ac:dyDescent="0.25">
      <c r="A20" s="23">
        <v>16</v>
      </c>
      <c r="B20" s="24" t="str">
        <f>ALL!C74</f>
        <v>Hilyatus Syarif Al Hafidloh</v>
      </c>
      <c r="C20" s="24"/>
      <c r="D20" s="24"/>
      <c r="E20" s="43"/>
      <c r="F20" s="43"/>
      <c r="G20" s="43"/>
      <c r="H20" s="44">
        <f>ALL!K74</f>
        <v>0</v>
      </c>
      <c r="I20" s="50">
        <f>ALL!L74</f>
        <v>0</v>
      </c>
      <c r="J20" s="44">
        <f>ALL!M74</f>
        <v>0</v>
      </c>
      <c r="K20" s="44">
        <f>ALL!N74</f>
        <v>0</v>
      </c>
      <c r="L20" s="44">
        <f>ALL!O74</f>
        <v>0</v>
      </c>
      <c r="M20" s="44">
        <f>ALL!P74</f>
        <v>0</v>
      </c>
      <c r="N20" s="12">
        <f>ALL!T74</f>
        <v>0</v>
      </c>
      <c r="O20" s="44">
        <f>ALL!U74</f>
        <v>0</v>
      </c>
      <c r="P20" s="44">
        <f>ALL!AF74</f>
        <v>0</v>
      </c>
      <c r="Q20" s="44">
        <f>ALL!AS74</f>
        <v>0</v>
      </c>
      <c r="R20" s="51">
        <f>ALL!AT74</f>
        <v>0</v>
      </c>
    </row>
    <row r="21" spans="1:18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77"/>
      <c r="K21" s="48"/>
      <c r="L21" s="48"/>
      <c r="M21" s="48"/>
      <c r="N21" s="48"/>
      <c r="O21" s="48"/>
      <c r="P21" s="48"/>
      <c r="Q21" s="48"/>
      <c r="R21" s="72">
        <f>SUM(R5:R20)</f>
        <v>27162427</v>
      </c>
    </row>
    <row r="22" spans="1:18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512" t="s">
        <v>489</v>
      </c>
      <c r="O22" s="48"/>
      <c r="P22" s="48"/>
      <c r="Q22" s="48"/>
      <c r="R22" s="48"/>
    </row>
    <row r="23" spans="1:18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162" t="s">
        <v>326</v>
      </c>
      <c r="O23" s="48"/>
      <c r="P23" s="48"/>
      <c r="Q23" s="48"/>
      <c r="R23" s="48"/>
    </row>
    <row r="24" spans="1:18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162" t="s">
        <v>325</v>
      </c>
      <c r="O24" s="48"/>
      <c r="P24" s="48"/>
      <c r="Q24" s="48"/>
      <c r="R24" s="48"/>
    </row>
    <row r="25" spans="1:18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162"/>
      <c r="O25" s="48"/>
      <c r="P25" s="48"/>
      <c r="Q25" s="48"/>
      <c r="R25" s="48"/>
    </row>
    <row r="26" spans="1:18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162"/>
      <c r="O26" s="48"/>
      <c r="P26" s="48"/>
      <c r="Q26" s="48"/>
      <c r="R26" s="48"/>
    </row>
    <row r="27" spans="1:18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162"/>
      <c r="O27" s="48"/>
      <c r="P27" s="48"/>
      <c r="Q27" s="48"/>
      <c r="R27" s="48"/>
    </row>
    <row r="28" spans="1:18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163" t="s">
        <v>107</v>
      </c>
      <c r="O28" s="48"/>
      <c r="P28" s="48"/>
      <c r="Q28" s="48"/>
      <c r="R28" s="48"/>
    </row>
    <row r="29" spans="1:18" x14ac:dyDescent="0.2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162"/>
      <c r="O29" s="48"/>
      <c r="P29" s="48"/>
      <c r="Q29" s="48"/>
      <c r="R29" s="48"/>
    </row>
    <row r="30" spans="1:18" x14ac:dyDescent="0.2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162" t="s">
        <v>324</v>
      </c>
      <c r="M30" s="48"/>
      <c r="N30" s="162" t="s">
        <v>323</v>
      </c>
      <c r="O30" s="48"/>
      <c r="P30" s="48"/>
      <c r="Q30" s="48"/>
      <c r="R30" s="48"/>
    </row>
    <row r="31" spans="1:18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162" t="s">
        <v>121</v>
      </c>
      <c r="M31" s="48"/>
      <c r="N31" s="162" t="s">
        <v>322</v>
      </c>
      <c r="O31" s="48"/>
      <c r="P31" s="48"/>
      <c r="Q31" s="48"/>
      <c r="R31" s="48"/>
    </row>
    <row r="32" spans="1:18" x14ac:dyDescent="0.2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162"/>
      <c r="M32" s="48"/>
      <c r="N32" s="162"/>
      <c r="O32" s="48"/>
      <c r="P32" s="48"/>
      <c r="Q32" s="48"/>
      <c r="R32" s="48"/>
    </row>
    <row r="33" spans="1:18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162"/>
      <c r="M33" s="48"/>
      <c r="N33" s="162"/>
      <c r="O33" s="48"/>
      <c r="P33" s="48"/>
      <c r="Q33" s="48"/>
      <c r="R33" s="48"/>
    </row>
    <row r="34" spans="1:18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162"/>
      <c r="M34" s="48"/>
      <c r="N34" s="162"/>
      <c r="O34" s="48"/>
      <c r="P34" s="48"/>
      <c r="Q34" s="48"/>
      <c r="R34" s="48"/>
    </row>
    <row r="35" spans="1:18" x14ac:dyDescent="0.25">
      <c r="K35" s="163" t="s">
        <v>327</v>
      </c>
      <c r="N35" s="163" t="s">
        <v>106</v>
      </c>
    </row>
    <row r="36" spans="1:18" x14ac:dyDescent="0.25">
      <c r="N36" s="82"/>
    </row>
  </sheetData>
  <mergeCells count="3">
    <mergeCell ref="Q1:R1"/>
    <mergeCell ref="A1:P1"/>
    <mergeCell ref="A2:P2"/>
  </mergeCells>
  <printOptions horizontalCentered="1"/>
  <pageMargins left="0.23622047244094491" right="0.23622047244094491" top="0.74803149606299213" bottom="0.74803149606299213" header="0.31496062992125984" footer="0.31496062992125984"/>
  <pageSetup paperSize="10000" scale="85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7"/>
  <sheetViews>
    <sheetView view="pageBreakPreview" zoomScale="82" zoomScaleNormal="85" zoomScaleSheetLayoutView="82" workbookViewId="0">
      <selection activeCell="L17" sqref="L17"/>
    </sheetView>
  </sheetViews>
  <sheetFormatPr defaultRowHeight="15" x14ac:dyDescent="0.25"/>
  <cols>
    <col min="1" max="1" width="4.85546875" customWidth="1"/>
    <col min="2" max="2" width="37.28515625" bestFit="1" customWidth="1"/>
    <col min="3" max="3" width="16.42578125" hidden="1" customWidth="1"/>
    <col min="4" max="4" width="43.7109375" hidden="1" customWidth="1"/>
    <col min="5" max="6" width="9.140625" hidden="1" customWidth="1"/>
    <col min="7" max="7" width="11.5703125" hidden="1" customWidth="1"/>
    <col min="8" max="9" width="12.28515625" customWidth="1"/>
    <col min="10" max="10" width="12.28515625" style="1" customWidth="1"/>
    <col min="11" max="18" width="12.28515625" customWidth="1"/>
    <col min="19" max="19" width="18.7109375" customWidth="1"/>
  </cols>
  <sheetData>
    <row r="1" spans="1:19" ht="15.75" x14ac:dyDescent="0.25">
      <c r="A1" s="543" t="s">
        <v>120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R1" s="544" t="s">
        <v>488</v>
      </c>
      <c r="S1" s="544"/>
    </row>
    <row r="2" spans="1:19" ht="15.75" x14ac:dyDescent="0.25">
      <c r="A2" s="543" t="s">
        <v>492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156"/>
      <c r="S2" s="156"/>
    </row>
    <row r="3" spans="1:19" x14ac:dyDescent="0.25">
      <c r="A3" s="14"/>
      <c r="B3" s="14"/>
      <c r="C3" s="14"/>
      <c r="D3" s="14"/>
      <c r="E3" s="14"/>
      <c r="F3" s="14"/>
      <c r="G3" s="14"/>
      <c r="H3" s="14"/>
      <c r="I3" s="14"/>
      <c r="J3" s="15"/>
      <c r="K3" s="14"/>
      <c r="L3" s="14"/>
      <c r="M3" s="14"/>
      <c r="N3" s="48"/>
      <c r="O3" s="48"/>
      <c r="P3" s="48"/>
      <c r="Q3" s="48"/>
      <c r="R3" s="48"/>
    </row>
    <row r="4" spans="1:19" ht="43.5" customHeight="1" x14ac:dyDescent="0.25">
      <c r="A4" s="6" t="s">
        <v>0</v>
      </c>
      <c r="B4" s="6" t="s">
        <v>1</v>
      </c>
      <c r="C4" s="6" t="s">
        <v>2</v>
      </c>
      <c r="D4" s="6" t="s">
        <v>3</v>
      </c>
      <c r="E4" s="8" t="s">
        <v>4</v>
      </c>
      <c r="F4" s="8" t="s">
        <v>5</v>
      </c>
      <c r="G4" s="8" t="s">
        <v>6</v>
      </c>
      <c r="H4" s="9" t="s">
        <v>7</v>
      </c>
      <c r="I4" s="6" t="s">
        <v>8</v>
      </c>
      <c r="J4" s="10" t="s">
        <v>99</v>
      </c>
      <c r="K4" s="6" t="s">
        <v>9</v>
      </c>
      <c r="L4" s="6" t="s">
        <v>10</v>
      </c>
      <c r="M4" s="6" t="s">
        <v>11</v>
      </c>
      <c r="N4" s="6" t="s">
        <v>97</v>
      </c>
      <c r="O4" s="6" t="s">
        <v>98</v>
      </c>
      <c r="P4" s="6" t="s">
        <v>14</v>
      </c>
      <c r="Q4" s="6" t="s">
        <v>25</v>
      </c>
      <c r="R4" s="6" t="s">
        <v>124</v>
      </c>
      <c r="S4" s="6" t="s">
        <v>15</v>
      </c>
    </row>
    <row r="5" spans="1:19" x14ac:dyDescent="0.25">
      <c r="A5" s="23">
        <v>1</v>
      </c>
      <c r="B5" s="16" t="str">
        <f>ALL!C75</f>
        <v>Evana A'isatus Zahro, S.Pd</v>
      </c>
      <c r="C5" s="17"/>
      <c r="D5" s="18" t="s">
        <v>56</v>
      </c>
      <c r="E5" s="78">
        <v>24</v>
      </c>
      <c r="F5" s="78"/>
      <c r="G5" s="78">
        <v>96</v>
      </c>
      <c r="H5" s="12">
        <f>ALL!K75</f>
        <v>1730000</v>
      </c>
      <c r="I5" s="12">
        <f>ALL!L75</f>
        <v>1000000</v>
      </c>
      <c r="J5" s="19">
        <f>ALL!M75</f>
        <v>100000</v>
      </c>
      <c r="K5" s="12">
        <f>ALL!N75</f>
        <v>86500</v>
      </c>
      <c r="L5" s="12">
        <f>ALL!O75</f>
        <v>34600</v>
      </c>
      <c r="M5" s="12">
        <f>ALL!P75</f>
        <v>32500</v>
      </c>
      <c r="N5" s="12">
        <f>ALL!T75</f>
        <v>200200</v>
      </c>
      <c r="O5" s="20">
        <f>ALL!Q75</f>
        <v>0</v>
      </c>
      <c r="P5" s="21">
        <f>ALL!U75</f>
        <v>0</v>
      </c>
      <c r="Q5" s="21">
        <f>ALL!AF75</f>
        <v>0</v>
      </c>
      <c r="R5" s="21">
        <f>ALL!AS75</f>
        <v>0</v>
      </c>
      <c r="S5" s="22">
        <f>ALL!AT75</f>
        <v>3183800</v>
      </c>
    </row>
    <row r="6" spans="1:19" x14ac:dyDescent="0.25">
      <c r="A6" s="23">
        <v>2</v>
      </c>
      <c r="B6" s="16" t="str">
        <f>ALL!C76</f>
        <v>Isni Mafruchatun Nisa, S.Pd</v>
      </c>
      <c r="C6" s="17"/>
      <c r="D6" s="18" t="s">
        <v>56</v>
      </c>
      <c r="E6" s="78">
        <v>24</v>
      </c>
      <c r="F6" s="78"/>
      <c r="G6" s="78">
        <v>96</v>
      </c>
      <c r="H6" s="12">
        <f>ALL!K76</f>
        <v>1730000</v>
      </c>
      <c r="I6" s="12">
        <f>ALL!L76</f>
        <v>0</v>
      </c>
      <c r="J6" s="19">
        <f>ALL!M76</f>
        <v>50000</v>
      </c>
      <c r="K6" s="12">
        <f>ALL!N76</f>
        <v>86500</v>
      </c>
      <c r="L6" s="12">
        <f>ALL!O76</f>
        <v>34600</v>
      </c>
      <c r="M6" s="12">
        <f>ALL!P76</f>
        <v>32500</v>
      </c>
      <c r="N6" s="12">
        <f>ALL!T76</f>
        <v>0</v>
      </c>
      <c r="O6" s="20">
        <f>ALL!Q76</f>
        <v>0</v>
      </c>
      <c r="P6" s="21">
        <f>ALL!U76</f>
        <v>0</v>
      </c>
      <c r="Q6" s="21">
        <f>ALL!AF76</f>
        <v>0</v>
      </c>
      <c r="R6" s="21">
        <f>ALL!AS76</f>
        <v>0</v>
      </c>
      <c r="S6" s="22">
        <f>ALL!AT76</f>
        <v>1933600</v>
      </c>
    </row>
    <row r="7" spans="1:19" x14ac:dyDescent="0.25">
      <c r="A7" s="23">
        <v>3</v>
      </c>
      <c r="B7" s="16" t="str">
        <f>ALL!C77</f>
        <v>Ikhda Khoirotus Syifa, S.Pd</v>
      </c>
      <c r="C7" s="17"/>
      <c r="D7" s="18" t="s">
        <v>56</v>
      </c>
      <c r="E7" s="78">
        <v>24</v>
      </c>
      <c r="F7" s="78"/>
      <c r="G7" s="78">
        <v>96</v>
      </c>
      <c r="H7" s="12">
        <f>ALL!K77</f>
        <v>1730000</v>
      </c>
      <c r="I7" s="12">
        <f>ALL!L77</f>
        <v>700000</v>
      </c>
      <c r="J7" s="19">
        <f>ALL!M77</f>
        <v>50000</v>
      </c>
      <c r="K7" s="12">
        <f>ALL!N77</f>
        <v>86500</v>
      </c>
      <c r="L7" s="12">
        <f>ALL!O77</f>
        <v>0</v>
      </c>
      <c r="M7" s="12">
        <f>ALL!P77</f>
        <v>32500</v>
      </c>
      <c r="N7" s="12">
        <f>ALL!T77</f>
        <v>121000</v>
      </c>
      <c r="O7" s="20">
        <f>ALL!Q77</f>
        <v>0</v>
      </c>
      <c r="P7" s="21">
        <f>ALL!U77</f>
        <v>0</v>
      </c>
      <c r="Q7" s="21">
        <f>ALL!AF77</f>
        <v>0</v>
      </c>
      <c r="R7" s="21">
        <f>ALL!AS77</f>
        <v>0</v>
      </c>
      <c r="S7" s="22">
        <f>ALL!AT77</f>
        <v>2720000</v>
      </c>
    </row>
    <row r="8" spans="1:19" x14ac:dyDescent="0.25">
      <c r="A8" s="23">
        <v>4</v>
      </c>
      <c r="B8" s="16" t="str">
        <f>ALL!C78</f>
        <v>Siti Mardliyah, M.Pd</v>
      </c>
      <c r="C8" s="17"/>
      <c r="D8" s="18" t="s">
        <v>56</v>
      </c>
      <c r="E8" s="78">
        <v>24</v>
      </c>
      <c r="F8" s="78"/>
      <c r="G8" s="78">
        <v>96</v>
      </c>
      <c r="H8" s="12">
        <f>ALL!K78</f>
        <v>1830000</v>
      </c>
      <c r="I8" s="12">
        <f>ALL!L78</f>
        <v>600000</v>
      </c>
      <c r="J8" s="19">
        <f>ALL!M78</f>
        <v>150000</v>
      </c>
      <c r="K8" s="12">
        <f>ALL!N78</f>
        <v>91500</v>
      </c>
      <c r="L8" s="12">
        <f>ALL!O78</f>
        <v>73200</v>
      </c>
      <c r="M8" s="12">
        <f>ALL!P78</f>
        <v>32500</v>
      </c>
      <c r="N8" s="12">
        <f>ALL!T78</f>
        <v>286000</v>
      </c>
      <c r="O8" s="20">
        <f>ALL!Q78</f>
        <v>0</v>
      </c>
      <c r="P8" s="21">
        <f>ALL!U78</f>
        <v>200000</v>
      </c>
      <c r="Q8" s="21">
        <f>ALL!AF78</f>
        <v>0</v>
      </c>
      <c r="R8" s="21">
        <f>ALL!AS78</f>
        <v>0</v>
      </c>
      <c r="S8" s="22">
        <f>ALL!AT78</f>
        <v>3263200</v>
      </c>
    </row>
    <row r="9" spans="1:19" x14ac:dyDescent="0.25">
      <c r="A9" s="23">
        <v>5</v>
      </c>
      <c r="B9" s="16" t="str">
        <f>ALL!C79</f>
        <v>Anggun Monika Lestari, S.Pd</v>
      </c>
      <c r="C9" s="17"/>
      <c r="D9" s="18" t="s">
        <v>56</v>
      </c>
      <c r="E9" s="78">
        <v>24</v>
      </c>
      <c r="F9" s="78"/>
      <c r="G9" s="78">
        <v>96</v>
      </c>
      <c r="H9" s="12">
        <f>ALL!K79</f>
        <v>1730000</v>
      </c>
      <c r="I9" s="12">
        <f>ALL!L79</f>
        <v>600000</v>
      </c>
      <c r="J9" s="19">
        <f>ALL!M79</f>
        <v>50000</v>
      </c>
      <c r="K9" s="12">
        <f>ALL!N79</f>
        <v>0</v>
      </c>
      <c r="L9" s="12">
        <f>ALL!O79</f>
        <v>34600</v>
      </c>
      <c r="M9" s="12">
        <f>ALL!P79</f>
        <v>32500</v>
      </c>
      <c r="N9" s="12">
        <f>ALL!T79</f>
        <v>81400</v>
      </c>
      <c r="O9" s="20">
        <f>ALL!Q79</f>
        <v>0</v>
      </c>
      <c r="P9" s="21">
        <f>ALL!U79</f>
        <v>50000</v>
      </c>
      <c r="Q9" s="21">
        <f>ALL!AF79</f>
        <v>0</v>
      </c>
      <c r="R9" s="21">
        <f>ALL!AS79</f>
        <v>0</v>
      </c>
      <c r="S9" s="22">
        <f>ALL!AT79</f>
        <v>2578500</v>
      </c>
    </row>
    <row r="10" spans="1:19" ht="18" customHeight="1" x14ac:dyDescent="0.25">
      <c r="A10" s="23">
        <v>6</v>
      </c>
      <c r="B10" s="16" t="str">
        <f>ALL!C80</f>
        <v>Muhammad Wahyu Wibowo, S.Pd</v>
      </c>
      <c r="C10" s="17"/>
      <c r="D10" s="18" t="s">
        <v>56</v>
      </c>
      <c r="E10" s="78">
        <v>24</v>
      </c>
      <c r="F10" s="78"/>
      <c r="G10" s="78">
        <v>96</v>
      </c>
      <c r="H10" s="12">
        <f>ALL!K80</f>
        <v>1730000</v>
      </c>
      <c r="I10" s="12">
        <f>ALL!L80</f>
        <v>600000</v>
      </c>
      <c r="J10" s="19">
        <f>ALL!M80</f>
        <v>50000</v>
      </c>
      <c r="K10" s="12">
        <f>ALL!N80</f>
        <v>86500</v>
      </c>
      <c r="L10" s="12">
        <f>ALL!O80</f>
        <v>0</v>
      </c>
      <c r="M10" s="12">
        <f>ALL!P80</f>
        <v>32500</v>
      </c>
      <c r="N10" s="12">
        <f>ALL!T80</f>
        <v>242000</v>
      </c>
      <c r="O10" s="20">
        <f>ALL!Q80</f>
        <v>0</v>
      </c>
      <c r="P10" s="21">
        <f>ALL!U80</f>
        <v>50000</v>
      </c>
      <c r="Q10" s="21">
        <f>ALL!AF80</f>
        <v>0</v>
      </c>
      <c r="R10" s="21">
        <f>ALL!AS80</f>
        <v>0</v>
      </c>
      <c r="S10" s="22">
        <f>ALL!AT80</f>
        <v>2791000</v>
      </c>
    </row>
    <row r="11" spans="1:19" x14ac:dyDescent="0.25">
      <c r="A11" s="23">
        <v>7</v>
      </c>
      <c r="B11" s="16" t="str">
        <f>ALL!C81</f>
        <v>Fajriyatuz Zahroh, S.Pd</v>
      </c>
      <c r="C11" s="17"/>
      <c r="D11" s="18" t="s">
        <v>56</v>
      </c>
      <c r="E11" s="78">
        <v>24</v>
      </c>
      <c r="F11" s="78"/>
      <c r="G11" s="78">
        <v>96</v>
      </c>
      <c r="H11" s="12">
        <f>ALL!K81</f>
        <v>1730000</v>
      </c>
      <c r="I11" s="12">
        <f>ALL!L81</f>
        <v>600000</v>
      </c>
      <c r="J11" s="19">
        <f>ALL!M81</f>
        <v>50000</v>
      </c>
      <c r="K11" s="12">
        <f>ALL!N81</f>
        <v>86500</v>
      </c>
      <c r="L11" s="12">
        <f>ALL!O81</f>
        <v>34600</v>
      </c>
      <c r="M11" s="12">
        <f>ALL!P81</f>
        <v>32500</v>
      </c>
      <c r="N11" s="12">
        <f>ALL!T81</f>
        <v>121000</v>
      </c>
      <c r="O11" s="20">
        <f>ALL!Q81</f>
        <v>0</v>
      </c>
      <c r="P11" s="21">
        <f>ALL!U81</f>
        <v>200000</v>
      </c>
      <c r="Q11" s="21">
        <f>ALL!AF81</f>
        <v>0</v>
      </c>
      <c r="R11" s="21">
        <f>ALL!AS81</f>
        <v>0</v>
      </c>
      <c r="S11" s="22">
        <f>ALL!AT81</f>
        <v>2854600</v>
      </c>
    </row>
    <row r="12" spans="1:19" x14ac:dyDescent="0.25">
      <c r="A12" s="23">
        <v>8</v>
      </c>
      <c r="B12" s="16" t="str">
        <f>ALL!C82</f>
        <v>Ratna Prasetyowati, S.Pd</v>
      </c>
      <c r="C12" s="17"/>
      <c r="D12" s="18" t="s">
        <v>56</v>
      </c>
      <c r="E12" s="78">
        <v>24</v>
      </c>
      <c r="F12" s="78"/>
      <c r="G12" s="78">
        <v>96</v>
      </c>
      <c r="H12" s="12">
        <f>ALL!K82</f>
        <v>1384000</v>
      </c>
      <c r="I12" s="12">
        <f>ALL!L82</f>
        <v>600000</v>
      </c>
      <c r="J12" s="19">
        <f>ALL!M82</f>
        <v>0</v>
      </c>
      <c r="K12" s="12">
        <f>ALL!N82</f>
        <v>0</v>
      </c>
      <c r="L12" s="12">
        <f>ALL!O82</f>
        <v>0</v>
      </c>
      <c r="M12" s="12">
        <f>ALL!P82</f>
        <v>0</v>
      </c>
      <c r="N12" s="12">
        <f>ALL!T82</f>
        <v>81400</v>
      </c>
      <c r="O12" s="20">
        <f>ALL!Q82</f>
        <v>0</v>
      </c>
      <c r="P12" s="21">
        <f>ALL!U82</f>
        <v>400000</v>
      </c>
      <c r="Q12" s="21">
        <f>ALL!AF82</f>
        <v>0</v>
      </c>
      <c r="R12" s="21">
        <f>ALL!AS82</f>
        <v>0</v>
      </c>
      <c r="S12" s="22">
        <f>ALL!AT82</f>
        <v>2465400</v>
      </c>
    </row>
    <row r="13" spans="1:19" x14ac:dyDescent="0.25">
      <c r="A13" s="23">
        <v>9</v>
      </c>
      <c r="B13" s="16" t="str">
        <f>ALL!C83</f>
        <v>Ani Nur Wasiah, M.Pd</v>
      </c>
      <c r="C13" s="17"/>
      <c r="D13" s="18" t="s">
        <v>56</v>
      </c>
      <c r="E13" s="78">
        <v>24</v>
      </c>
      <c r="F13" s="78"/>
      <c r="G13" s="78">
        <v>96</v>
      </c>
      <c r="H13" s="12">
        <f>ALL!K83</f>
        <v>1830000</v>
      </c>
      <c r="I13" s="12">
        <f>ALL!L83</f>
        <v>600000</v>
      </c>
      <c r="J13" s="19">
        <f>ALL!M83</f>
        <v>50000</v>
      </c>
      <c r="K13" s="12">
        <f>ALL!N83</f>
        <v>91500</v>
      </c>
      <c r="L13" s="12">
        <f>ALL!O83</f>
        <v>36600</v>
      </c>
      <c r="M13" s="12">
        <f>ALL!P83</f>
        <v>32500</v>
      </c>
      <c r="N13" s="12">
        <f>ALL!T83</f>
        <v>286000</v>
      </c>
      <c r="O13" s="20">
        <f>ALL!Q83</f>
        <v>0</v>
      </c>
      <c r="P13" s="21">
        <f>ALL!U83</f>
        <v>200000</v>
      </c>
      <c r="Q13" s="21">
        <f>ALL!AF83</f>
        <v>0</v>
      </c>
      <c r="R13" s="21">
        <f>ALL!AS83</f>
        <v>0</v>
      </c>
      <c r="S13" s="22">
        <f>ALL!AT83</f>
        <v>3126600</v>
      </c>
    </row>
    <row r="14" spans="1:19" x14ac:dyDescent="0.25">
      <c r="A14" s="23">
        <v>10</v>
      </c>
      <c r="B14" s="16" t="str">
        <f>ALL!C84</f>
        <v>Nurul Hidayatur Rohmah, S.Pd</v>
      </c>
      <c r="C14" s="17"/>
      <c r="D14" s="18" t="s">
        <v>56</v>
      </c>
      <c r="E14" s="78">
        <v>24</v>
      </c>
      <c r="F14" s="78"/>
      <c r="G14" s="78">
        <v>96</v>
      </c>
      <c r="H14" s="12">
        <f>ALL!K84</f>
        <v>1730000</v>
      </c>
      <c r="I14" s="12">
        <f>ALL!L84</f>
        <v>600000</v>
      </c>
      <c r="J14" s="19">
        <f>ALL!M84</f>
        <v>50000</v>
      </c>
      <c r="K14" s="12">
        <f>ALL!N84</f>
        <v>0</v>
      </c>
      <c r="L14" s="12">
        <f>ALL!O84</f>
        <v>0</v>
      </c>
      <c r="M14" s="12">
        <f>ALL!P84</f>
        <v>0</v>
      </c>
      <c r="N14" s="12">
        <f>ALL!T84</f>
        <v>200200</v>
      </c>
      <c r="O14" s="20">
        <f>ALL!Q84</f>
        <v>0</v>
      </c>
      <c r="P14" s="21">
        <f>ALL!U84</f>
        <v>400000</v>
      </c>
      <c r="Q14" s="21">
        <f>ALL!AF84</f>
        <v>0</v>
      </c>
      <c r="R14" s="21">
        <f>ALL!AS84</f>
        <v>0</v>
      </c>
      <c r="S14" s="22">
        <f>ALL!AT84</f>
        <v>2980200</v>
      </c>
    </row>
    <row r="15" spans="1:19" x14ac:dyDescent="0.25">
      <c r="A15" s="23">
        <v>11</v>
      </c>
      <c r="B15" s="16" t="str">
        <f>ALL!C85</f>
        <v>Fadzel Muhammad Rifandi, S.Pd</v>
      </c>
      <c r="C15" s="17"/>
      <c r="D15" s="18" t="s">
        <v>56</v>
      </c>
      <c r="E15" s="78">
        <v>24</v>
      </c>
      <c r="F15" s="78"/>
      <c r="G15" s="78">
        <v>96</v>
      </c>
      <c r="H15" s="12">
        <f>ALL!K85</f>
        <v>1730000</v>
      </c>
      <c r="I15" s="12">
        <f>ALL!L85</f>
        <v>100000</v>
      </c>
      <c r="J15" s="19">
        <f>ALL!M85</f>
        <v>0</v>
      </c>
      <c r="K15" s="12">
        <f>ALL!N85</f>
        <v>0</v>
      </c>
      <c r="L15" s="12">
        <f>ALL!O85</f>
        <v>0</v>
      </c>
      <c r="M15" s="12">
        <f>ALL!P85</f>
        <v>0</v>
      </c>
      <c r="N15" s="12">
        <f>ALL!T85</f>
        <v>160600</v>
      </c>
      <c r="O15" s="20">
        <f>ALL!Q85</f>
        <v>0</v>
      </c>
      <c r="P15" s="21">
        <f>ALL!U85</f>
        <v>50000</v>
      </c>
      <c r="Q15" s="21">
        <f>ALL!AF85</f>
        <v>0</v>
      </c>
      <c r="R15" s="21">
        <f>ALL!AS85</f>
        <v>0</v>
      </c>
      <c r="S15" s="22">
        <f>ALL!AT85</f>
        <v>2040600</v>
      </c>
    </row>
    <row r="16" spans="1:19" x14ac:dyDescent="0.25">
      <c r="A16" s="23">
        <v>12</v>
      </c>
      <c r="B16" s="16" t="str">
        <f>ALL!C86</f>
        <v>Sekar Ayu Pamungkas</v>
      </c>
      <c r="C16" s="17"/>
      <c r="D16" s="18" t="s">
        <v>56</v>
      </c>
      <c r="E16" s="78">
        <v>24</v>
      </c>
      <c r="F16" s="78"/>
      <c r="G16" s="78">
        <v>96</v>
      </c>
      <c r="H16" s="12">
        <f>ALL!K86</f>
        <v>1384000</v>
      </c>
      <c r="I16" s="12">
        <f>ALL!L86</f>
        <v>700000</v>
      </c>
      <c r="J16" s="19">
        <f>ALL!M86</f>
        <v>0</v>
      </c>
      <c r="K16" s="12">
        <f>ALL!N86</f>
        <v>0</v>
      </c>
      <c r="L16" s="12">
        <f>ALL!O86</f>
        <v>0</v>
      </c>
      <c r="M16" s="12">
        <f>ALL!P86</f>
        <v>0</v>
      </c>
      <c r="N16" s="12">
        <f>ALL!T86</f>
        <v>242000</v>
      </c>
      <c r="O16" s="20">
        <f>ALL!Q86</f>
        <v>0</v>
      </c>
      <c r="P16" s="21">
        <f>ALL!U86</f>
        <v>400000</v>
      </c>
      <c r="Q16" s="21">
        <f>ALL!AF86</f>
        <v>0</v>
      </c>
      <c r="R16" s="21">
        <f>ALL!AS86</f>
        <v>0</v>
      </c>
      <c r="S16" s="22">
        <f>ALL!AT86</f>
        <v>2726000</v>
      </c>
    </row>
    <row r="17" spans="1:19" x14ac:dyDescent="0.25">
      <c r="A17" s="23">
        <v>13</v>
      </c>
      <c r="B17" s="16" t="str">
        <f>ALL!C87</f>
        <v>Heni Ari Hidayah, S.Pd</v>
      </c>
      <c r="C17" s="17"/>
      <c r="D17" s="18" t="s">
        <v>56</v>
      </c>
      <c r="E17" s="78">
        <v>24</v>
      </c>
      <c r="F17" s="78"/>
      <c r="G17" s="78">
        <v>96</v>
      </c>
      <c r="H17" s="12">
        <f>ALL!K87</f>
        <v>1730000</v>
      </c>
      <c r="I17" s="12">
        <f>ALL!L87</f>
        <v>600000</v>
      </c>
      <c r="J17" s="19">
        <f>ALL!M87</f>
        <v>50000</v>
      </c>
      <c r="K17" s="12">
        <f>ALL!N87</f>
        <v>86500</v>
      </c>
      <c r="L17" s="12">
        <f>ALL!O87</f>
        <v>0</v>
      </c>
      <c r="M17" s="12">
        <f>ALL!P87</f>
        <v>32500</v>
      </c>
      <c r="N17" s="12">
        <f>ALL!T87</f>
        <v>81400</v>
      </c>
      <c r="O17" s="20">
        <f>ALL!Q87</f>
        <v>0</v>
      </c>
      <c r="P17" s="21">
        <f>ALL!U87</f>
        <v>400000</v>
      </c>
      <c r="Q17" s="21">
        <f>ALL!AF87</f>
        <v>0</v>
      </c>
      <c r="R17" s="21">
        <f>ALL!AS87</f>
        <v>0</v>
      </c>
      <c r="S17" s="22">
        <f>ALL!AT87</f>
        <v>2980400</v>
      </c>
    </row>
    <row r="18" spans="1:19" x14ac:dyDescent="0.25">
      <c r="A18" s="23">
        <v>14</v>
      </c>
      <c r="B18" s="16" t="str">
        <f>ALL!C88</f>
        <v>Muhammad Abdul Karim, S.Pd</v>
      </c>
      <c r="C18" s="17"/>
      <c r="D18" s="18" t="s">
        <v>56</v>
      </c>
      <c r="E18" s="78">
        <v>24</v>
      </c>
      <c r="F18" s="78"/>
      <c r="G18" s="78">
        <v>96</v>
      </c>
      <c r="H18" s="12">
        <f>ALL!K88</f>
        <v>1730000</v>
      </c>
      <c r="I18" s="12">
        <f>ALL!L88</f>
        <v>0</v>
      </c>
      <c r="J18" s="19">
        <f>ALL!M88</f>
        <v>0</v>
      </c>
      <c r="K18" s="12">
        <f>ALL!N88</f>
        <v>0</v>
      </c>
      <c r="L18" s="12">
        <f>ALL!O88</f>
        <v>0</v>
      </c>
      <c r="M18" s="12">
        <f>ALL!P88</f>
        <v>0</v>
      </c>
      <c r="N18" s="12">
        <f>ALL!T88</f>
        <v>286000</v>
      </c>
      <c r="O18" s="20">
        <f>ALL!Q88</f>
        <v>0</v>
      </c>
      <c r="P18" s="21">
        <f>ALL!U88</f>
        <v>300000</v>
      </c>
      <c r="Q18" s="21">
        <f>ALL!AF88</f>
        <v>0</v>
      </c>
      <c r="R18" s="21">
        <f>ALL!AS88</f>
        <v>0</v>
      </c>
      <c r="S18" s="22">
        <f>ALL!AT88</f>
        <v>2316000</v>
      </c>
    </row>
    <row r="19" spans="1:19" x14ac:dyDescent="0.25">
      <c r="A19" s="23">
        <v>15</v>
      </c>
      <c r="B19" s="16" t="str">
        <f>ALL!C89</f>
        <v>Hananingtyas Hapsari</v>
      </c>
      <c r="C19" s="17"/>
      <c r="D19" s="18" t="s">
        <v>56</v>
      </c>
      <c r="E19" s="78">
        <v>24</v>
      </c>
      <c r="F19" s="78"/>
      <c r="G19" s="78">
        <v>96</v>
      </c>
      <c r="H19" s="12">
        <f>ALL!K89</f>
        <v>1730000</v>
      </c>
      <c r="I19" s="12">
        <f>ALL!L89</f>
        <v>0</v>
      </c>
      <c r="J19" s="19">
        <f>ALL!M89</f>
        <v>100000</v>
      </c>
      <c r="K19" s="12">
        <f>ALL!N89</f>
        <v>86500</v>
      </c>
      <c r="L19" s="12">
        <f>ALL!O89</f>
        <v>0</v>
      </c>
      <c r="M19" s="12">
        <f>ALL!P89</f>
        <v>32500</v>
      </c>
      <c r="N19" s="12">
        <f>ALL!T89</f>
        <v>160600</v>
      </c>
      <c r="O19" s="20">
        <f>ALL!Q89</f>
        <v>0</v>
      </c>
      <c r="P19" s="21">
        <f>ALL!U89</f>
        <v>0</v>
      </c>
      <c r="Q19" s="21">
        <f>ALL!AF89</f>
        <v>0</v>
      </c>
      <c r="R19" s="21">
        <f>ALL!AS89</f>
        <v>0</v>
      </c>
      <c r="S19" s="22">
        <f>ALL!AT89</f>
        <v>2109600</v>
      </c>
    </row>
    <row r="20" spans="1:19" x14ac:dyDescent="0.25">
      <c r="A20" s="23">
        <v>17</v>
      </c>
      <c r="B20" s="16" t="str">
        <f>ALL!C90</f>
        <v>Syafiun Nuha, S.Pd</v>
      </c>
      <c r="C20" s="17"/>
      <c r="D20" s="18" t="s">
        <v>56</v>
      </c>
      <c r="E20" s="78">
        <v>24</v>
      </c>
      <c r="F20" s="78"/>
      <c r="G20" s="78">
        <v>96</v>
      </c>
      <c r="H20" s="12">
        <f>ALL!K90</f>
        <v>1730000</v>
      </c>
      <c r="I20" s="12">
        <f>ALL!L90</f>
        <v>600000</v>
      </c>
      <c r="J20" s="19">
        <f>ALL!M90</f>
        <v>0</v>
      </c>
      <c r="K20" s="12">
        <f>ALL!N90</f>
        <v>0</v>
      </c>
      <c r="L20" s="12">
        <f>ALL!O90</f>
        <v>0</v>
      </c>
      <c r="M20" s="12">
        <f>ALL!P90</f>
        <v>0</v>
      </c>
      <c r="N20" s="12">
        <f>ALL!T90</f>
        <v>286000</v>
      </c>
      <c r="O20" s="20">
        <f>ALL!Q90</f>
        <v>0</v>
      </c>
      <c r="P20" s="21">
        <f>ALL!U90</f>
        <v>400000</v>
      </c>
      <c r="Q20" s="21">
        <f>ALL!AF90</f>
        <v>0</v>
      </c>
      <c r="R20" s="21">
        <f>ALL!AS90</f>
        <v>0</v>
      </c>
      <c r="S20" s="22">
        <f>ALL!AT90</f>
        <v>3016000</v>
      </c>
    </row>
    <row r="21" spans="1:19" x14ac:dyDescent="0.25">
      <c r="A21" s="23">
        <v>18</v>
      </c>
      <c r="B21" s="16" t="str">
        <f>ALL!C91</f>
        <v>Muhammad Misbahuddin Arif, S.Kom</v>
      </c>
      <c r="C21" s="17"/>
      <c r="D21" s="18" t="s">
        <v>56</v>
      </c>
      <c r="E21" s="78">
        <v>24</v>
      </c>
      <c r="F21" s="78"/>
      <c r="G21" s="78">
        <v>96</v>
      </c>
      <c r="H21" s="12">
        <f>ALL!K91</f>
        <v>1730000</v>
      </c>
      <c r="I21" s="12">
        <f>ALL!L91</f>
        <v>600000</v>
      </c>
      <c r="J21" s="19">
        <f>ALL!M91</f>
        <v>50000</v>
      </c>
      <c r="K21" s="12">
        <f>ALL!N91</f>
        <v>86500</v>
      </c>
      <c r="L21" s="12">
        <f>ALL!O91</f>
        <v>34600</v>
      </c>
      <c r="M21" s="12">
        <f>ALL!P91</f>
        <v>32500</v>
      </c>
      <c r="N21" s="12">
        <f>ALL!T91</f>
        <v>286000</v>
      </c>
      <c r="O21" s="20">
        <f>ALL!Q91</f>
        <v>0</v>
      </c>
      <c r="P21" s="21">
        <f>ALL!U91</f>
        <v>150000</v>
      </c>
      <c r="Q21" s="21">
        <f>ALL!AF91</f>
        <v>0</v>
      </c>
      <c r="R21" s="21">
        <f>ALL!AS91</f>
        <v>0</v>
      </c>
      <c r="S21" s="22">
        <f>ALL!AT91</f>
        <v>2969600</v>
      </c>
    </row>
    <row r="22" spans="1:19" x14ac:dyDescent="0.25">
      <c r="A22" s="23">
        <v>19</v>
      </c>
      <c r="B22" s="16" t="str">
        <f>ALL!C92</f>
        <v>Harisatul Hidayati, S.Pd.I</v>
      </c>
      <c r="C22" s="17"/>
      <c r="D22" s="18" t="s">
        <v>56</v>
      </c>
      <c r="E22" s="78">
        <v>24</v>
      </c>
      <c r="F22" s="78"/>
      <c r="G22" s="78">
        <v>96</v>
      </c>
      <c r="H22" s="12">
        <f>ALL!K92</f>
        <v>0</v>
      </c>
      <c r="I22" s="12">
        <f>ALL!L92</f>
        <v>0</v>
      </c>
      <c r="J22" s="19">
        <f>ALL!M92</f>
        <v>0</v>
      </c>
      <c r="K22" s="12">
        <f>ALL!N92</f>
        <v>0</v>
      </c>
      <c r="L22" s="12">
        <f>ALL!O92</f>
        <v>0</v>
      </c>
      <c r="M22" s="12">
        <f>ALL!P92</f>
        <v>0</v>
      </c>
      <c r="N22" s="12">
        <f>ALL!T92</f>
        <v>27300</v>
      </c>
      <c r="O22" s="20">
        <f>ALL!Q92</f>
        <v>0</v>
      </c>
      <c r="P22" s="21">
        <f>ALL!U92</f>
        <v>0</v>
      </c>
      <c r="Q22" s="21">
        <f>ALL!AF92</f>
        <v>0</v>
      </c>
      <c r="R22" s="21">
        <f>ALL!AS92</f>
        <v>0</v>
      </c>
      <c r="S22" s="22">
        <f>ALL!AT92</f>
        <v>27300</v>
      </c>
    </row>
    <row r="23" spans="1:19" x14ac:dyDescent="0.25">
      <c r="A23" s="23">
        <v>20</v>
      </c>
      <c r="B23" s="16" t="str">
        <f>ALL!C93</f>
        <v>Nilna Maulidatul Wafa</v>
      </c>
      <c r="C23" s="17"/>
      <c r="D23" s="18" t="s">
        <v>56</v>
      </c>
      <c r="E23" s="78">
        <v>24</v>
      </c>
      <c r="F23" s="78"/>
      <c r="G23" s="78">
        <v>96</v>
      </c>
      <c r="H23" s="12">
        <f>ALL!K93</f>
        <v>0</v>
      </c>
      <c r="I23" s="12">
        <f>ALL!L93</f>
        <v>0</v>
      </c>
      <c r="J23" s="19">
        <f>ALL!M93</f>
        <v>0</v>
      </c>
      <c r="K23" s="12">
        <f>ALL!N93</f>
        <v>0</v>
      </c>
      <c r="L23" s="12">
        <f>ALL!O93</f>
        <v>0</v>
      </c>
      <c r="M23" s="12">
        <f>ALL!P93</f>
        <v>0</v>
      </c>
      <c r="N23" s="12">
        <f>ALL!T93</f>
        <v>0</v>
      </c>
      <c r="O23" s="20">
        <f>ALL!Q93</f>
        <v>0</v>
      </c>
      <c r="P23" s="21">
        <f>ALL!U93</f>
        <v>0</v>
      </c>
      <c r="Q23" s="21">
        <f>ALL!AF93</f>
        <v>0</v>
      </c>
      <c r="R23" s="21">
        <f>ALL!AS93</f>
        <v>0</v>
      </c>
      <c r="S23" s="22">
        <f>ALL!AT93</f>
        <v>0</v>
      </c>
    </row>
    <row r="24" spans="1:19" x14ac:dyDescent="0.25">
      <c r="A24" s="23">
        <v>21</v>
      </c>
      <c r="B24" s="16" t="str">
        <f>ALL!C94</f>
        <v>Fitrotul Hidayah, S.Pd</v>
      </c>
      <c r="C24" s="17"/>
      <c r="D24" s="18" t="s">
        <v>56</v>
      </c>
      <c r="E24" s="78">
        <v>24</v>
      </c>
      <c r="F24" s="78"/>
      <c r="G24" s="78">
        <v>96</v>
      </c>
      <c r="H24" s="12">
        <f>ALL!K94</f>
        <v>0</v>
      </c>
      <c r="I24" s="12">
        <f>ALL!L94</f>
        <v>0</v>
      </c>
      <c r="J24" s="19">
        <f>ALL!M94</f>
        <v>0</v>
      </c>
      <c r="K24" s="12">
        <f>ALL!N94</f>
        <v>0</v>
      </c>
      <c r="L24" s="12">
        <f>ALL!O94</f>
        <v>0</v>
      </c>
      <c r="M24" s="12">
        <f>ALL!P94</f>
        <v>0</v>
      </c>
      <c r="N24" s="12">
        <f>ALL!T94</f>
        <v>0</v>
      </c>
      <c r="O24" s="20">
        <f>ALL!Q94</f>
        <v>0</v>
      </c>
      <c r="P24" s="21">
        <f>ALL!U94</f>
        <v>0</v>
      </c>
      <c r="Q24" s="21">
        <f>ALL!AF94</f>
        <v>0</v>
      </c>
      <c r="R24" s="21">
        <f>ALL!AS94</f>
        <v>0</v>
      </c>
      <c r="S24" s="22">
        <f>ALL!AT94</f>
        <v>0</v>
      </c>
    </row>
    <row r="25" spans="1:19" x14ac:dyDescent="0.25">
      <c r="A25" s="23">
        <v>22</v>
      </c>
      <c r="B25" s="16" t="str">
        <f>ALL!C95</f>
        <v>Zavira Ayu Listiyani</v>
      </c>
      <c r="C25" s="17"/>
      <c r="D25" s="18" t="s">
        <v>56</v>
      </c>
      <c r="E25" s="78">
        <v>24</v>
      </c>
      <c r="F25" s="78"/>
      <c r="G25" s="78">
        <v>96</v>
      </c>
      <c r="H25" s="12">
        <f>ALL!K95</f>
        <v>1280000</v>
      </c>
      <c r="I25" s="12">
        <f>ALL!L95</f>
        <v>100000</v>
      </c>
      <c r="J25" s="19">
        <f>ALL!M95</f>
        <v>50000</v>
      </c>
      <c r="K25" s="12">
        <f>ALL!N95</f>
        <v>64000</v>
      </c>
      <c r="L25" s="12">
        <f>ALL!O95</f>
        <v>25600</v>
      </c>
      <c r="M25" s="12">
        <f>ALL!P95</f>
        <v>32500</v>
      </c>
      <c r="N25" s="12">
        <f>ALL!T95</f>
        <v>200200</v>
      </c>
      <c r="O25" s="20">
        <f>ALL!Q95</f>
        <v>0</v>
      </c>
      <c r="P25" s="21">
        <f>ALL!U95</f>
        <v>0</v>
      </c>
      <c r="Q25" s="21">
        <f>ALL!AF95</f>
        <v>0</v>
      </c>
      <c r="R25" s="21">
        <f>ALL!AS95</f>
        <v>0</v>
      </c>
      <c r="S25" s="22">
        <f>ALL!AT95</f>
        <v>1752300</v>
      </c>
    </row>
    <row r="26" spans="1:19" x14ac:dyDescent="0.25">
      <c r="A26" s="23">
        <v>23</v>
      </c>
      <c r="B26" s="16" t="str">
        <f>ALL!C96</f>
        <v>Ahmad Ridwan</v>
      </c>
      <c r="C26" s="17"/>
      <c r="D26" s="18" t="s">
        <v>56</v>
      </c>
      <c r="E26" s="78">
        <v>24</v>
      </c>
      <c r="F26" s="78"/>
      <c r="G26" s="78">
        <v>96</v>
      </c>
      <c r="H26" s="12">
        <f>ALL!K96</f>
        <v>1280000</v>
      </c>
      <c r="I26" s="12">
        <f>ALL!L96</f>
        <v>0</v>
      </c>
      <c r="J26" s="19">
        <f>ALL!M96</f>
        <v>50000</v>
      </c>
      <c r="K26" s="12">
        <f>ALL!N96</f>
        <v>0</v>
      </c>
      <c r="L26" s="12">
        <f>ALL!O96</f>
        <v>0</v>
      </c>
      <c r="M26" s="12">
        <f>ALL!P96</f>
        <v>32500</v>
      </c>
      <c r="N26" s="12">
        <f>ALL!T96</f>
        <v>189800</v>
      </c>
      <c r="O26" s="20">
        <f>ALL!Q96</f>
        <v>0</v>
      </c>
      <c r="P26" s="21">
        <f>ALL!U96</f>
        <v>0</v>
      </c>
      <c r="Q26" s="21">
        <f>ALL!AF96</f>
        <v>0</v>
      </c>
      <c r="R26" s="21">
        <f>ALL!AS96</f>
        <v>0</v>
      </c>
      <c r="S26" s="22">
        <f>ALL!AT96</f>
        <v>1552300</v>
      </c>
    </row>
    <row r="27" spans="1:19" x14ac:dyDescent="0.25">
      <c r="A27" s="23">
        <v>24</v>
      </c>
      <c r="B27" s="16" t="str">
        <f>ALL!C97</f>
        <v>Bahrul Ulum, S.Kom</v>
      </c>
      <c r="C27" s="17"/>
      <c r="D27" s="18" t="s">
        <v>56</v>
      </c>
      <c r="E27" s="78">
        <v>24</v>
      </c>
      <c r="F27" s="78"/>
      <c r="G27" s="78">
        <v>96</v>
      </c>
      <c r="H27" s="12">
        <f>ALL!K97</f>
        <v>1730000</v>
      </c>
      <c r="I27" s="12">
        <f>ALL!L97</f>
        <v>0</v>
      </c>
      <c r="J27" s="19">
        <f>ALL!M97</f>
        <v>50000</v>
      </c>
      <c r="K27" s="12">
        <f>ALL!N97</f>
        <v>86500</v>
      </c>
      <c r="L27" s="12">
        <f>ALL!O97</f>
        <v>34600</v>
      </c>
      <c r="M27" s="12">
        <f>ALL!P97</f>
        <v>32500</v>
      </c>
      <c r="N27" s="12">
        <f>ALL!T97</f>
        <v>121000</v>
      </c>
      <c r="O27" s="20">
        <f>ALL!Q97</f>
        <v>0</v>
      </c>
      <c r="P27" s="21">
        <f>ALL!U97</f>
        <v>0</v>
      </c>
      <c r="Q27" s="21">
        <f>ALL!AF97</f>
        <v>0</v>
      </c>
      <c r="R27" s="21">
        <f>ALL!AS97</f>
        <v>0</v>
      </c>
      <c r="S27" s="22">
        <f>ALL!AT97</f>
        <v>2054600</v>
      </c>
    </row>
    <row r="28" spans="1:19" x14ac:dyDescent="0.25">
      <c r="A28" s="23">
        <v>25</v>
      </c>
      <c r="B28" s="16" t="str">
        <f>ALL!C98</f>
        <v>Muhammad Khotim</v>
      </c>
      <c r="C28" s="17"/>
      <c r="D28" s="18" t="s">
        <v>56</v>
      </c>
      <c r="E28" s="78">
        <v>24</v>
      </c>
      <c r="F28" s="78"/>
      <c r="G28" s="78">
        <v>96</v>
      </c>
      <c r="H28" s="12">
        <f>ALL!K98</f>
        <v>1280000</v>
      </c>
      <c r="I28" s="12">
        <f>ALL!L98</f>
        <v>200000</v>
      </c>
      <c r="J28" s="19">
        <f>ALL!M98</f>
        <v>0</v>
      </c>
      <c r="K28" s="12">
        <f>ALL!N98</f>
        <v>0</v>
      </c>
      <c r="L28" s="12">
        <f>ALL!O98</f>
        <v>0</v>
      </c>
      <c r="M28" s="12">
        <f>ALL!P98</f>
        <v>0</v>
      </c>
      <c r="N28" s="12">
        <f>ALL!T98</f>
        <v>160600</v>
      </c>
      <c r="O28" s="20">
        <f>ALL!Q98</f>
        <v>0</v>
      </c>
      <c r="P28" s="21">
        <f>ALL!U98</f>
        <v>0</v>
      </c>
      <c r="Q28" s="21">
        <f>ALL!AF98</f>
        <v>0</v>
      </c>
      <c r="R28" s="21">
        <f>ALL!AS98</f>
        <v>0</v>
      </c>
      <c r="S28" s="22">
        <f>ALL!AT98</f>
        <v>1640600</v>
      </c>
    </row>
    <row r="29" spans="1:19" x14ac:dyDescent="0.25">
      <c r="A29" s="23">
        <v>26</v>
      </c>
      <c r="B29" s="16" t="str">
        <f>ALL!C99</f>
        <v>Siswanto</v>
      </c>
      <c r="C29" s="17"/>
      <c r="D29" s="18" t="s">
        <v>56</v>
      </c>
      <c r="E29" s="78">
        <v>24</v>
      </c>
      <c r="F29" s="78"/>
      <c r="G29" s="78">
        <v>96</v>
      </c>
      <c r="H29" s="12">
        <f>ALL!K99</f>
        <v>1024000</v>
      </c>
      <c r="I29" s="12">
        <f>ALL!L99</f>
        <v>0</v>
      </c>
      <c r="J29" s="19">
        <f>ALL!M99</f>
        <v>0</v>
      </c>
      <c r="K29" s="12">
        <f>ALL!N99</f>
        <v>0</v>
      </c>
      <c r="L29" s="12">
        <f>ALL!O99</f>
        <v>0</v>
      </c>
      <c r="M29" s="12">
        <f>ALL!P99</f>
        <v>0</v>
      </c>
      <c r="N29" s="12">
        <f>ALL!T99</f>
        <v>338000</v>
      </c>
      <c r="O29" s="20">
        <f>ALL!Q99</f>
        <v>0</v>
      </c>
      <c r="P29" s="21">
        <f>ALL!U99</f>
        <v>0</v>
      </c>
      <c r="Q29" s="21">
        <f>ALL!AF99</f>
        <v>0</v>
      </c>
      <c r="R29" s="21">
        <f>ALL!AS99</f>
        <v>0</v>
      </c>
      <c r="S29" s="22">
        <f>ALL!AT99</f>
        <v>1362000</v>
      </c>
    </row>
    <row r="30" spans="1:19" x14ac:dyDescent="0.25">
      <c r="A30" s="23">
        <v>27</v>
      </c>
      <c r="B30" s="16" t="str">
        <f>ALL!C100</f>
        <v>Laila nur Annisa Agustina</v>
      </c>
      <c r="C30" s="17"/>
      <c r="D30" s="18" t="s">
        <v>56</v>
      </c>
      <c r="E30" s="78">
        <v>24</v>
      </c>
      <c r="F30" s="78"/>
      <c r="G30" s="78">
        <v>96</v>
      </c>
      <c r="H30" s="12">
        <f>ALL!K100</f>
        <v>1008000</v>
      </c>
      <c r="I30" s="12">
        <f>ALL!L100</f>
        <v>0</v>
      </c>
      <c r="J30" s="19">
        <f>ALL!M100</f>
        <v>0</v>
      </c>
      <c r="K30" s="12">
        <f>ALL!N100</f>
        <v>0</v>
      </c>
      <c r="L30" s="12">
        <f>ALL!O100</f>
        <v>0</v>
      </c>
      <c r="M30" s="12">
        <f>ALL!P100</f>
        <v>0</v>
      </c>
      <c r="N30" s="12">
        <f>ALL!T100</f>
        <v>236600</v>
      </c>
      <c r="O30" s="20">
        <f>ALL!Q100</f>
        <v>0</v>
      </c>
      <c r="P30" s="21">
        <f>ALL!U100</f>
        <v>0</v>
      </c>
      <c r="Q30" s="21">
        <f>ALL!AF100</f>
        <v>0</v>
      </c>
      <c r="R30" s="21">
        <f>ALL!AS100</f>
        <v>0</v>
      </c>
      <c r="S30" s="22">
        <f>ALL!AT100</f>
        <v>1244600</v>
      </c>
    </row>
    <row r="31" spans="1:19" x14ac:dyDescent="0.25">
      <c r="A31" s="68"/>
      <c r="B31" s="287"/>
      <c r="C31" s="287"/>
      <c r="D31" s="287"/>
      <c r="E31" s="288"/>
      <c r="F31" s="288"/>
      <c r="G31" s="288"/>
      <c r="H31" s="79"/>
      <c r="I31" s="79"/>
      <c r="J31" s="289"/>
      <c r="K31" s="79"/>
      <c r="L31" s="79"/>
      <c r="M31" s="79"/>
      <c r="N31" s="79"/>
      <c r="O31" s="290"/>
      <c r="P31" s="291"/>
      <c r="Q31" s="291"/>
      <c r="R31" s="291"/>
      <c r="S31" s="292">
        <f>SUM(S5:S30)</f>
        <v>55688800</v>
      </c>
    </row>
    <row r="32" spans="1:19" x14ac:dyDescent="0.25">
      <c r="A32" s="68"/>
      <c r="B32" s="287"/>
      <c r="C32" s="287"/>
      <c r="D32" s="287"/>
      <c r="E32" s="288"/>
      <c r="F32" s="288"/>
      <c r="G32" s="288"/>
      <c r="H32" s="79"/>
      <c r="I32" s="79"/>
      <c r="J32" s="289"/>
      <c r="K32" s="79"/>
      <c r="L32" s="79"/>
      <c r="M32" s="79"/>
      <c r="N32" s="79"/>
      <c r="O32" s="290"/>
      <c r="P32" s="291"/>
      <c r="Q32" s="291"/>
      <c r="R32" s="291"/>
      <c r="S32" s="292"/>
    </row>
    <row r="33" spans="1:18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64"/>
      <c r="K33" s="48"/>
      <c r="L33" s="48"/>
      <c r="M33" s="48"/>
      <c r="N33" s="48"/>
      <c r="O33" s="512" t="s">
        <v>489</v>
      </c>
      <c r="P33" s="48"/>
      <c r="Q33" s="48"/>
      <c r="R33" s="48"/>
    </row>
    <row r="34" spans="1:18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64"/>
      <c r="K34" s="48"/>
      <c r="L34" s="48"/>
      <c r="M34" s="48"/>
      <c r="N34" s="48"/>
      <c r="O34" s="162" t="s">
        <v>326</v>
      </c>
      <c r="P34" s="48"/>
      <c r="Q34" s="48"/>
      <c r="R34" s="48"/>
    </row>
    <row r="35" spans="1:18" x14ac:dyDescent="0.25">
      <c r="A35" s="48"/>
      <c r="B35" s="48"/>
      <c r="C35" s="48"/>
      <c r="D35" s="48"/>
      <c r="E35" s="48"/>
      <c r="F35" s="48"/>
      <c r="G35" s="48"/>
      <c r="H35" s="48"/>
      <c r="I35" s="48"/>
      <c r="J35" s="64"/>
      <c r="K35" s="48"/>
      <c r="L35" s="48"/>
      <c r="M35" s="48"/>
      <c r="N35" s="48"/>
      <c r="O35" s="162" t="s">
        <v>325</v>
      </c>
      <c r="P35" s="48"/>
      <c r="Q35" s="48"/>
      <c r="R35" s="48"/>
    </row>
    <row r="36" spans="1:18" x14ac:dyDescent="0.25">
      <c r="A36" s="48"/>
      <c r="B36" s="48"/>
      <c r="C36" s="48"/>
      <c r="D36" s="48"/>
      <c r="E36" s="48"/>
      <c r="F36" s="48"/>
      <c r="G36" s="48"/>
      <c r="H36" s="48"/>
      <c r="I36" s="48"/>
      <c r="J36" s="64"/>
      <c r="K36" s="48"/>
      <c r="L36" s="48"/>
      <c r="M36" s="48"/>
      <c r="N36" s="48"/>
      <c r="O36" s="162"/>
      <c r="P36" s="48"/>
      <c r="Q36" s="48"/>
      <c r="R36" s="48"/>
    </row>
    <row r="37" spans="1:18" x14ac:dyDescent="0.25">
      <c r="A37" s="48"/>
      <c r="B37" s="48"/>
      <c r="C37" s="48"/>
      <c r="D37" s="48"/>
      <c r="E37" s="48"/>
      <c r="F37" s="48"/>
      <c r="G37" s="48"/>
      <c r="H37" s="48"/>
      <c r="I37" s="48"/>
      <c r="J37" s="64"/>
      <c r="K37" s="48"/>
      <c r="L37" s="48"/>
      <c r="M37" s="48"/>
      <c r="N37" s="48"/>
      <c r="O37" s="162"/>
      <c r="P37" s="48"/>
      <c r="Q37" s="48"/>
      <c r="R37" s="48"/>
    </row>
    <row r="38" spans="1:18" x14ac:dyDescent="0.25">
      <c r="A38" s="48"/>
      <c r="B38" s="48"/>
      <c r="C38" s="48"/>
      <c r="D38" s="48"/>
      <c r="E38" s="48"/>
      <c r="F38" s="48"/>
      <c r="G38" s="48"/>
      <c r="H38" s="48"/>
      <c r="I38" s="48"/>
      <c r="J38" s="64"/>
      <c r="K38" s="48"/>
      <c r="L38" s="48"/>
      <c r="M38" s="48"/>
      <c r="N38" s="48"/>
      <c r="O38" s="162"/>
      <c r="P38" s="48"/>
      <c r="Q38" s="48"/>
      <c r="R38" s="48"/>
    </row>
    <row r="39" spans="1:18" x14ac:dyDescent="0.25">
      <c r="A39" s="48"/>
      <c r="B39" s="48"/>
      <c r="C39" s="48"/>
      <c r="D39" s="48"/>
      <c r="E39" s="48"/>
      <c r="F39" s="48"/>
      <c r="G39" s="48"/>
      <c r="H39" s="48"/>
      <c r="I39" s="48"/>
      <c r="J39" s="64"/>
      <c r="K39" s="48"/>
      <c r="L39" s="48"/>
      <c r="M39" s="48"/>
      <c r="N39" s="48"/>
      <c r="O39" s="163" t="s">
        <v>107</v>
      </c>
      <c r="P39" s="48"/>
      <c r="Q39" s="48"/>
      <c r="R39" s="48"/>
    </row>
    <row r="40" spans="1:18" x14ac:dyDescent="0.25">
      <c r="A40" s="48"/>
      <c r="B40" s="48"/>
      <c r="C40" s="48"/>
      <c r="D40" s="48"/>
      <c r="E40" s="48"/>
      <c r="F40" s="48"/>
      <c r="G40" s="48"/>
      <c r="H40" s="48"/>
      <c r="I40" s="48"/>
      <c r="J40" s="64"/>
      <c r="K40" s="48"/>
      <c r="L40" s="48"/>
      <c r="M40" s="48"/>
      <c r="N40" s="48"/>
      <c r="O40" s="162"/>
      <c r="P40" s="48"/>
      <c r="Q40" s="48"/>
      <c r="R40" s="48"/>
    </row>
    <row r="41" spans="1:18" x14ac:dyDescent="0.25">
      <c r="A41" s="48"/>
      <c r="B41" s="48"/>
      <c r="C41" s="48"/>
      <c r="D41" s="48"/>
      <c r="E41" s="48"/>
      <c r="F41" s="48"/>
      <c r="G41" s="48"/>
      <c r="H41" s="48"/>
      <c r="I41" s="48"/>
      <c r="J41" s="64"/>
      <c r="K41" s="48"/>
      <c r="L41" s="162" t="s">
        <v>324</v>
      </c>
      <c r="N41" s="48"/>
      <c r="O41" s="162" t="s">
        <v>323</v>
      </c>
      <c r="P41" s="48"/>
      <c r="Q41" s="48"/>
      <c r="R41" s="48"/>
    </row>
    <row r="42" spans="1:18" x14ac:dyDescent="0.25">
      <c r="A42" s="48"/>
      <c r="B42" s="48"/>
      <c r="C42" s="48"/>
      <c r="D42" s="48"/>
      <c r="E42" s="48"/>
      <c r="F42" s="48"/>
      <c r="G42" s="48"/>
      <c r="H42" s="48"/>
      <c r="I42" s="48"/>
      <c r="J42" s="64"/>
      <c r="K42" s="48"/>
      <c r="L42" s="162" t="s">
        <v>121</v>
      </c>
      <c r="N42" s="48"/>
      <c r="O42" s="162" t="s">
        <v>322</v>
      </c>
      <c r="P42" s="48"/>
      <c r="Q42" s="48"/>
      <c r="R42" s="48"/>
    </row>
    <row r="43" spans="1:18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64"/>
      <c r="K43" s="48"/>
      <c r="L43" s="162"/>
      <c r="N43" s="48"/>
      <c r="O43" s="162"/>
      <c r="P43" s="48"/>
      <c r="Q43" s="48"/>
      <c r="R43" s="48"/>
    </row>
    <row r="44" spans="1:18" x14ac:dyDescent="0.25">
      <c r="L44" s="162"/>
      <c r="O44" s="162"/>
    </row>
    <row r="45" spans="1:18" x14ac:dyDescent="0.25">
      <c r="L45" s="162"/>
      <c r="O45" s="162"/>
    </row>
    <row r="46" spans="1:18" x14ac:dyDescent="0.25">
      <c r="L46" s="163" t="s">
        <v>327</v>
      </c>
      <c r="O46" s="163" t="s">
        <v>106</v>
      </c>
    </row>
    <row r="47" spans="1:18" x14ac:dyDescent="0.25">
      <c r="O47" s="82"/>
    </row>
  </sheetData>
  <mergeCells count="3">
    <mergeCell ref="R1:S1"/>
    <mergeCell ref="A1:Q1"/>
    <mergeCell ref="A2:Q2"/>
  </mergeCells>
  <printOptions horizontalCentered="1"/>
  <pageMargins left="0.7" right="0.7" top="0.75" bottom="0.75" header="0.3" footer="0.3"/>
  <pageSetup paperSize="10000" scale="72" orientation="landscape" horizontalDpi="360" verticalDpi="360" r:id="rId1"/>
  <rowBreaks count="1" manualBreakCount="1">
    <brk id="47" max="18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4"/>
  <sheetViews>
    <sheetView topLeftCell="A19" zoomScale="91" zoomScaleNormal="91" workbookViewId="0">
      <selection activeCell="O25" sqref="O25"/>
    </sheetView>
  </sheetViews>
  <sheetFormatPr defaultRowHeight="15" x14ac:dyDescent="0.25"/>
  <cols>
    <col min="1" max="1" width="4.85546875" customWidth="1"/>
    <col min="2" max="2" width="35" customWidth="1"/>
    <col min="3" max="3" width="11.85546875" hidden="1" customWidth="1"/>
    <col min="4" max="4" width="55.5703125" hidden="1" customWidth="1"/>
    <col min="5" max="6" width="9.140625" hidden="1" customWidth="1"/>
    <col min="7" max="7" width="3.28515625" hidden="1" customWidth="1"/>
    <col min="8" max="8" width="10.140625" customWidth="1"/>
    <col min="9" max="9" width="11.42578125" customWidth="1"/>
    <col min="10" max="10" width="10" customWidth="1"/>
    <col min="11" max="11" width="9.7109375" customWidth="1"/>
    <col min="12" max="12" width="7.42578125" customWidth="1"/>
    <col min="13" max="13" width="9" customWidth="1"/>
    <col min="14" max="14" width="9.5703125" customWidth="1"/>
    <col min="15" max="15" width="9.85546875" customWidth="1"/>
    <col min="16" max="16" width="11.28515625" customWidth="1"/>
    <col min="17" max="18" width="8.140625" customWidth="1"/>
    <col min="19" max="19" width="16.7109375" customWidth="1"/>
  </cols>
  <sheetData>
    <row r="1" spans="1:19" ht="15.75" x14ac:dyDescent="0.25">
      <c r="A1" s="543" t="s">
        <v>120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R1" s="544" t="s">
        <v>488</v>
      </c>
      <c r="S1" s="544"/>
    </row>
    <row r="2" spans="1:19" ht="15.75" x14ac:dyDescent="0.25">
      <c r="A2" s="545" t="s">
        <v>493</v>
      </c>
      <c r="B2" s="545"/>
      <c r="C2" s="545"/>
      <c r="D2" s="545"/>
      <c r="E2" s="545"/>
      <c r="F2" s="545"/>
      <c r="G2" s="545"/>
      <c r="H2" s="545"/>
      <c r="I2" s="545"/>
      <c r="J2" s="545"/>
      <c r="K2" s="545"/>
      <c r="L2" s="545"/>
      <c r="M2" s="545"/>
      <c r="N2" s="545"/>
      <c r="O2" s="545"/>
      <c r="P2" s="545"/>
      <c r="Q2" s="545"/>
      <c r="R2" s="157"/>
      <c r="S2" s="157"/>
    </row>
    <row r="3" spans="1:19" ht="15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</row>
    <row r="4" spans="1:19" ht="33.75" customHeight="1" x14ac:dyDescent="0.25">
      <c r="A4" s="7" t="s">
        <v>0</v>
      </c>
      <c r="B4" s="7" t="s">
        <v>1</v>
      </c>
      <c r="C4" s="7" t="s">
        <v>2</v>
      </c>
      <c r="D4" s="7" t="s">
        <v>3</v>
      </c>
      <c r="E4" s="29" t="s">
        <v>4</v>
      </c>
      <c r="F4" s="29" t="s">
        <v>5</v>
      </c>
      <c r="G4" s="29" t="s">
        <v>6</v>
      </c>
      <c r="H4" s="30" t="s">
        <v>7</v>
      </c>
      <c r="I4" s="7" t="s">
        <v>8</v>
      </c>
      <c r="J4" s="7" t="s">
        <v>84</v>
      </c>
      <c r="K4" s="7" t="s">
        <v>9</v>
      </c>
      <c r="L4" s="7" t="s">
        <v>10</v>
      </c>
      <c r="M4" s="7" t="s">
        <v>11</v>
      </c>
      <c r="N4" s="7" t="s">
        <v>97</v>
      </c>
      <c r="O4" s="7" t="s">
        <v>101</v>
      </c>
      <c r="P4" s="7" t="s">
        <v>100</v>
      </c>
      <c r="Q4" s="7" t="s">
        <v>25</v>
      </c>
      <c r="R4" s="7" t="s">
        <v>124</v>
      </c>
      <c r="S4" s="7" t="s">
        <v>15</v>
      </c>
    </row>
    <row r="5" spans="1:19" x14ac:dyDescent="0.25">
      <c r="A5" s="32">
        <v>1</v>
      </c>
      <c r="B5" s="53" t="str">
        <f>ALL!C101</f>
        <v>Ust. Muh. Sabiq Baqiyyatullah Al Hafidl</v>
      </c>
      <c r="C5" s="31"/>
      <c r="D5" s="31" t="s">
        <v>66</v>
      </c>
      <c r="E5" s="31"/>
      <c r="F5" s="54"/>
      <c r="G5" s="54"/>
      <c r="H5" s="55">
        <f>ALL!K101</f>
        <v>1730000</v>
      </c>
      <c r="I5" s="31">
        <f>ALL!L101</f>
        <v>500000</v>
      </c>
      <c r="J5" s="54">
        <f>ALL!M101</f>
        <v>50000</v>
      </c>
      <c r="K5" s="54">
        <f>ALL!N101</f>
        <v>86500</v>
      </c>
      <c r="L5" s="54">
        <f>ALL!O101</f>
        <v>69200</v>
      </c>
      <c r="M5" s="54">
        <f>ALL!P101</f>
        <v>32500</v>
      </c>
      <c r="N5" s="32">
        <f>ALL!T102</f>
        <v>81400</v>
      </c>
      <c r="O5" s="54">
        <f>ALL!Q101</f>
        <v>0</v>
      </c>
      <c r="P5" s="54">
        <f>ALL!U101</f>
        <v>0</v>
      </c>
      <c r="Q5" s="54">
        <f>ALL!AF101</f>
        <v>0</v>
      </c>
      <c r="R5" s="54">
        <f>ALL!AS101</f>
        <v>0</v>
      </c>
      <c r="S5" s="56">
        <f>ALL!AT101</f>
        <v>2468200</v>
      </c>
    </row>
    <row r="6" spans="1:19" ht="15.75" customHeight="1" x14ac:dyDescent="0.25">
      <c r="A6" s="32">
        <v>2</v>
      </c>
      <c r="B6" s="53" t="str">
        <f>ALL!C102</f>
        <v>Ust. Ulil Absor, S.Pd.I</v>
      </c>
      <c r="C6" s="31"/>
      <c r="D6" s="31" t="s">
        <v>66</v>
      </c>
      <c r="E6" s="31"/>
      <c r="F6" s="54"/>
      <c r="G6" s="54"/>
      <c r="H6" s="55">
        <f>ALL!K102</f>
        <v>1830000</v>
      </c>
      <c r="I6" s="31">
        <f>ALL!L102</f>
        <v>400000</v>
      </c>
      <c r="J6" s="54">
        <f>ALL!M102</f>
        <v>50000</v>
      </c>
      <c r="K6" s="54">
        <f>ALL!N102</f>
        <v>0</v>
      </c>
      <c r="L6" s="54">
        <f>ALL!O102</f>
        <v>0</v>
      </c>
      <c r="M6" s="54">
        <f>ALL!P102</f>
        <v>0</v>
      </c>
      <c r="N6" s="32">
        <f>ALL!T103</f>
        <v>286000</v>
      </c>
      <c r="O6" s="54">
        <f>ALL!Q102</f>
        <v>0</v>
      </c>
      <c r="P6" s="54">
        <f>ALL!U102</f>
        <v>0</v>
      </c>
      <c r="Q6" s="54">
        <f>ALL!AF102</f>
        <v>0</v>
      </c>
      <c r="R6" s="54">
        <f>ALL!AS102</f>
        <v>0</v>
      </c>
      <c r="S6" s="56">
        <f>ALL!AT102</f>
        <v>2361400</v>
      </c>
    </row>
    <row r="7" spans="1:19" x14ac:dyDescent="0.25">
      <c r="A7" s="32">
        <v>3</v>
      </c>
      <c r="B7" s="53" t="str">
        <f>ALL!C103</f>
        <v>Ust. Syukron Ali, S.Hum</v>
      </c>
      <c r="C7" s="31"/>
      <c r="D7" s="31" t="s">
        <v>66</v>
      </c>
      <c r="E7" s="31"/>
      <c r="F7" s="54"/>
      <c r="G7" s="54"/>
      <c r="H7" s="55">
        <f>ALL!K103</f>
        <v>1830000</v>
      </c>
      <c r="I7" s="31">
        <f>ALL!L103</f>
        <v>300000</v>
      </c>
      <c r="J7" s="54">
        <f>ALL!M103</f>
        <v>50000</v>
      </c>
      <c r="K7" s="54">
        <f>ALL!N103</f>
        <v>91500</v>
      </c>
      <c r="L7" s="54">
        <f>ALL!O103</f>
        <v>73200</v>
      </c>
      <c r="M7" s="54">
        <f>ALL!P103</f>
        <v>32500</v>
      </c>
      <c r="N7" s="32">
        <f>ALL!T104</f>
        <v>81400</v>
      </c>
      <c r="O7" s="54">
        <f>ALL!Q103</f>
        <v>0</v>
      </c>
      <c r="P7" s="54">
        <f>ALL!U103</f>
        <v>0</v>
      </c>
      <c r="Q7" s="54">
        <f>ALL!AF103</f>
        <v>0</v>
      </c>
      <c r="R7" s="54">
        <f>ALL!AS103</f>
        <v>0</v>
      </c>
      <c r="S7" s="56">
        <f>ALL!AT103</f>
        <v>2663200</v>
      </c>
    </row>
    <row r="8" spans="1:19" x14ac:dyDescent="0.25">
      <c r="A8" s="32">
        <v>4</v>
      </c>
      <c r="B8" s="53" t="str">
        <f>ALL!C104</f>
        <v>Ustdz. Siti Ruqoyah, S.Pd</v>
      </c>
      <c r="C8" s="31"/>
      <c r="D8" s="31" t="s">
        <v>66</v>
      </c>
      <c r="E8" s="31"/>
      <c r="F8" s="54"/>
      <c r="G8" s="54"/>
      <c r="H8" s="55">
        <f>ALL!K104</f>
        <v>1730000</v>
      </c>
      <c r="I8" s="31">
        <f>ALL!L104</f>
        <v>200000</v>
      </c>
      <c r="J8" s="54">
        <f>ALL!M104</f>
        <v>50000</v>
      </c>
      <c r="K8" s="54">
        <f>ALL!N104</f>
        <v>0</v>
      </c>
      <c r="L8" s="54">
        <f>ALL!O104</f>
        <v>0</v>
      </c>
      <c r="M8" s="54">
        <f>ALL!P104</f>
        <v>32500</v>
      </c>
      <c r="N8" s="32">
        <f>ALL!T105</f>
        <v>286000</v>
      </c>
      <c r="O8" s="54">
        <f>ALL!Q104</f>
        <v>0</v>
      </c>
      <c r="P8" s="54">
        <f>ALL!U104</f>
        <v>0</v>
      </c>
      <c r="Q8" s="54">
        <f>ALL!AF104</f>
        <v>0</v>
      </c>
      <c r="R8" s="54">
        <f>ALL!AS104</f>
        <v>0</v>
      </c>
      <c r="S8" s="56">
        <f>ALL!AT104</f>
        <v>2093900</v>
      </c>
    </row>
    <row r="9" spans="1:19" x14ac:dyDescent="0.25">
      <c r="A9" s="32">
        <v>5</v>
      </c>
      <c r="B9" s="53" t="str">
        <f>ALL!C105</f>
        <v>Ust. Muhammad Syafi'ul Anam Al Hafidh</v>
      </c>
      <c r="C9" s="31"/>
      <c r="D9" s="31" t="s">
        <v>66</v>
      </c>
      <c r="E9" s="31"/>
      <c r="F9" s="54"/>
      <c r="G9" s="54"/>
      <c r="H9" s="55">
        <f>ALL!K105</f>
        <v>1730000</v>
      </c>
      <c r="I9" s="31">
        <f>ALL!L105</f>
        <v>100000</v>
      </c>
      <c r="J9" s="54">
        <f>ALL!M105</f>
        <v>0</v>
      </c>
      <c r="K9" s="54">
        <f>ALL!N105</f>
        <v>0</v>
      </c>
      <c r="L9" s="54">
        <f>ALL!O105</f>
        <v>0</v>
      </c>
      <c r="M9" s="54">
        <f>ALL!P105</f>
        <v>0</v>
      </c>
      <c r="N9" s="32">
        <f>ALL!T106</f>
        <v>286000</v>
      </c>
      <c r="O9" s="54">
        <f>ALL!Q105</f>
        <v>0</v>
      </c>
      <c r="P9" s="54">
        <f>ALL!U105</f>
        <v>0</v>
      </c>
      <c r="Q9" s="54">
        <f>ALL!AF105</f>
        <v>0</v>
      </c>
      <c r="R9" s="54">
        <f>ALL!AS105</f>
        <v>0</v>
      </c>
      <c r="S9" s="56">
        <f>ALL!AT105</f>
        <v>2116000</v>
      </c>
    </row>
    <row r="10" spans="1:19" x14ac:dyDescent="0.25">
      <c r="A10" s="32">
        <v>6</v>
      </c>
      <c r="B10" s="53" t="str">
        <f>ALL!C106</f>
        <v>Ust. Firmansyah Maulana, SE</v>
      </c>
      <c r="C10" s="31"/>
      <c r="D10" s="31" t="s">
        <v>66</v>
      </c>
      <c r="E10" s="31"/>
      <c r="F10" s="54"/>
      <c r="G10" s="54"/>
      <c r="H10" s="55">
        <f>ALL!K106</f>
        <v>1730000</v>
      </c>
      <c r="I10" s="31">
        <f>ALL!L106</f>
        <v>100000</v>
      </c>
      <c r="J10" s="54">
        <f>ALL!M106</f>
        <v>50000</v>
      </c>
      <c r="K10" s="54">
        <f>ALL!N106</f>
        <v>86500</v>
      </c>
      <c r="L10" s="54">
        <f>ALL!O106</f>
        <v>69200</v>
      </c>
      <c r="M10" s="54">
        <f>ALL!P106</f>
        <v>32500</v>
      </c>
      <c r="N10" s="32">
        <f>ALL!T107</f>
        <v>242000</v>
      </c>
      <c r="O10" s="54">
        <f>ALL!Q106</f>
        <v>0</v>
      </c>
      <c r="P10" s="54">
        <f>ALL!U106</f>
        <v>0</v>
      </c>
      <c r="Q10" s="54">
        <f>ALL!AF106</f>
        <v>0</v>
      </c>
      <c r="R10" s="54">
        <f>ALL!AS106</f>
        <v>0</v>
      </c>
      <c r="S10" s="56">
        <f>ALL!AT106</f>
        <v>2354200</v>
      </c>
    </row>
    <row r="11" spans="1:19" x14ac:dyDescent="0.25">
      <c r="A11" s="32">
        <v>7</v>
      </c>
      <c r="B11" s="53" t="str">
        <f>ALL!C107</f>
        <v>Ustdz. Hilyatus Syarif Al Hafidloh</v>
      </c>
      <c r="C11" s="31"/>
      <c r="D11" s="31" t="s">
        <v>66</v>
      </c>
      <c r="E11" s="31"/>
      <c r="F11" s="54"/>
      <c r="G11" s="54"/>
      <c r="H11" s="55">
        <f>ALL!K107</f>
        <v>1730000</v>
      </c>
      <c r="I11" s="31">
        <f>ALL!L107</f>
        <v>100000</v>
      </c>
      <c r="J11" s="54">
        <f>ALL!M107</f>
        <v>50000</v>
      </c>
      <c r="K11" s="54">
        <f>ALL!N107</f>
        <v>0</v>
      </c>
      <c r="L11" s="54">
        <f>ALL!O107</f>
        <v>0</v>
      </c>
      <c r="M11" s="54">
        <f>ALL!P107</f>
        <v>32500</v>
      </c>
      <c r="N11" s="32">
        <f>ALL!T108</f>
        <v>200200</v>
      </c>
      <c r="O11" s="54">
        <f>ALL!Q107</f>
        <v>0</v>
      </c>
      <c r="P11" s="54">
        <f>ALL!U107</f>
        <v>0</v>
      </c>
      <c r="Q11" s="54">
        <f>ALL!AF107</f>
        <v>0</v>
      </c>
      <c r="R11" s="54">
        <f>ALL!AS107</f>
        <v>0</v>
      </c>
      <c r="S11" s="56">
        <f>ALL!AT107</f>
        <v>2154500</v>
      </c>
    </row>
    <row r="12" spans="1:19" x14ac:dyDescent="0.25">
      <c r="A12" s="32">
        <v>8</v>
      </c>
      <c r="B12" s="53" t="str">
        <f>ALL!C108</f>
        <v>Ustdz. Nailul Muna</v>
      </c>
      <c r="C12" s="31"/>
      <c r="D12" s="31" t="s">
        <v>66</v>
      </c>
      <c r="E12" s="31"/>
      <c r="F12" s="54"/>
      <c r="G12" s="54"/>
      <c r="H12" s="55">
        <f>ALL!K108</f>
        <v>1730000</v>
      </c>
      <c r="I12" s="31">
        <f>ALL!L108</f>
        <v>100000</v>
      </c>
      <c r="J12" s="54">
        <f>ALL!M108</f>
        <v>0</v>
      </c>
      <c r="K12" s="54">
        <f>ALL!N108</f>
        <v>0</v>
      </c>
      <c r="L12" s="54">
        <f>ALL!O108</f>
        <v>0</v>
      </c>
      <c r="M12" s="54">
        <f>ALL!P108</f>
        <v>0</v>
      </c>
      <c r="N12" s="32">
        <f>ALL!T109</f>
        <v>242000</v>
      </c>
      <c r="O12" s="54">
        <f>ALL!Q108</f>
        <v>0</v>
      </c>
      <c r="P12" s="54">
        <f>ALL!U108</f>
        <v>0</v>
      </c>
      <c r="Q12" s="54">
        <f>ALL!AF108</f>
        <v>0</v>
      </c>
      <c r="R12" s="54">
        <f>ALL!AS108</f>
        <v>0</v>
      </c>
      <c r="S12" s="56">
        <f>ALL!AT108</f>
        <v>2030200</v>
      </c>
    </row>
    <row r="13" spans="1:19" x14ac:dyDescent="0.25">
      <c r="A13" s="32">
        <v>9</v>
      </c>
      <c r="B13" s="53" t="str">
        <f>ALL!C109</f>
        <v>Ust. M.Tijani Robert Kalthoum</v>
      </c>
      <c r="C13" s="31"/>
      <c r="D13" s="31" t="s">
        <v>66</v>
      </c>
      <c r="E13" s="31"/>
      <c r="F13" s="54"/>
      <c r="G13" s="54"/>
      <c r="H13" s="55">
        <f>ALL!K109</f>
        <v>1730000</v>
      </c>
      <c r="I13" s="31">
        <f>ALL!L109</f>
        <v>100000</v>
      </c>
      <c r="J13" s="54">
        <f>ALL!M109</f>
        <v>0</v>
      </c>
      <c r="K13" s="54">
        <f>ALL!N109</f>
        <v>0</v>
      </c>
      <c r="L13" s="54">
        <f>ALL!O109</f>
        <v>0</v>
      </c>
      <c r="M13" s="54">
        <f>ALL!P109</f>
        <v>0</v>
      </c>
      <c r="N13" s="32">
        <f>ALL!T110</f>
        <v>81400</v>
      </c>
      <c r="O13" s="54">
        <f>ALL!Q109</f>
        <v>0</v>
      </c>
      <c r="P13" s="54">
        <f>ALL!U109</f>
        <v>0</v>
      </c>
      <c r="Q13" s="54">
        <f>ALL!AF109</f>
        <v>0</v>
      </c>
      <c r="R13" s="54">
        <f>ALL!AS109</f>
        <v>0</v>
      </c>
      <c r="S13" s="56">
        <f>ALL!AT109</f>
        <v>2072000</v>
      </c>
    </row>
    <row r="14" spans="1:19" x14ac:dyDescent="0.25">
      <c r="A14" s="32">
        <v>10</v>
      </c>
      <c r="B14" s="53" t="str">
        <f>ALL!C110</f>
        <v>Ustdz. Wardah Alfin Noer</v>
      </c>
      <c r="C14" s="31"/>
      <c r="D14" s="31" t="s">
        <v>66</v>
      </c>
      <c r="E14" s="31"/>
      <c r="F14" s="54"/>
      <c r="G14" s="54"/>
      <c r="H14" s="55">
        <f>ALL!K110</f>
        <v>1730000</v>
      </c>
      <c r="I14" s="31">
        <f>ALL!L110</f>
        <v>100000</v>
      </c>
      <c r="J14" s="54">
        <f>ALL!M110</f>
        <v>0</v>
      </c>
      <c r="K14" s="54">
        <f>ALL!N110</f>
        <v>0</v>
      </c>
      <c r="L14" s="54">
        <f>ALL!O110</f>
        <v>0</v>
      </c>
      <c r="M14" s="54">
        <f>ALL!P110</f>
        <v>0</v>
      </c>
      <c r="N14" s="32">
        <f>ALL!T111</f>
        <v>121000</v>
      </c>
      <c r="O14" s="54">
        <f>ALL!Q110</f>
        <v>0</v>
      </c>
      <c r="P14" s="54">
        <f>ALL!U110</f>
        <v>0</v>
      </c>
      <c r="Q14" s="54">
        <f>ALL!AF110</f>
        <v>0</v>
      </c>
      <c r="R14" s="54">
        <f>ALL!AS110</f>
        <v>0</v>
      </c>
      <c r="S14" s="56">
        <f>ALL!AT110</f>
        <v>1911400</v>
      </c>
    </row>
    <row r="15" spans="1:19" x14ac:dyDescent="0.25">
      <c r="A15" s="32">
        <v>11</v>
      </c>
      <c r="B15" s="53" t="str">
        <f>ALL!C111</f>
        <v>Ahmad Muayyad</v>
      </c>
      <c r="C15" s="31"/>
      <c r="D15" s="31" t="s">
        <v>66</v>
      </c>
      <c r="E15" s="31"/>
      <c r="F15" s="54"/>
      <c r="G15" s="54"/>
      <c r="H15" s="55">
        <f>ALL!K111</f>
        <v>1730000</v>
      </c>
      <c r="I15" s="31">
        <f>ALL!L111</f>
        <v>100000</v>
      </c>
      <c r="J15" s="54">
        <f>ALL!M111</f>
        <v>0</v>
      </c>
      <c r="K15" s="54">
        <f>ALL!N111</f>
        <v>0</v>
      </c>
      <c r="L15" s="54">
        <f>ALL!O111</f>
        <v>0</v>
      </c>
      <c r="M15" s="54">
        <f>ALL!P111</f>
        <v>0</v>
      </c>
      <c r="N15" s="32">
        <f>ALL!T112</f>
        <v>286000</v>
      </c>
      <c r="O15" s="54">
        <f>ALL!Q111</f>
        <v>0</v>
      </c>
      <c r="P15" s="54">
        <f>ALL!U111</f>
        <v>0</v>
      </c>
      <c r="Q15" s="54">
        <f>ALL!AF111</f>
        <v>0</v>
      </c>
      <c r="R15" s="54">
        <f>ALL!AS111</f>
        <v>0</v>
      </c>
      <c r="S15" s="56">
        <f>ALL!AT111</f>
        <v>1951000</v>
      </c>
    </row>
    <row r="16" spans="1:19" x14ac:dyDescent="0.25">
      <c r="A16" s="32">
        <v>12</v>
      </c>
      <c r="B16" s="53" t="str">
        <f>ALL!C112</f>
        <v>Nurul Shofiana</v>
      </c>
      <c r="C16" s="31"/>
      <c r="D16" s="31" t="s">
        <v>66</v>
      </c>
      <c r="E16" s="31"/>
      <c r="F16" s="54"/>
      <c r="G16" s="54"/>
      <c r="H16" s="55">
        <f>ALL!K112</f>
        <v>1730000</v>
      </c>
      <c r="I16" s="31">
        <f>ALL!L112</f>
        <v>100000</v>
      </c>
      <c r="J16" s="54">
        <f>ALL!M112</f>
        <v>0</v>
      </c>
      <c r="K16" s="54">
        <f>ALL!N112</f>
        <v>0</v>
      </c>
      <c r="L16" s="54">
        <f>ALL!O112</f>
        <v>0</v>
      </c>
      <c r="M16" s="54">
        <f>ALL!P112</f>
        <v>0</v>
      </c>
      <c r="N16" s="32">
        <f>ALL!T113</f>
        <v>0</v>
      </c>
      <c r="O16" s="54">
        <f>ALL!Q112</f>
        <v>0</v>
      </c>
      <c r="P16" s="54">
        <f>ALL!U112</f>
        <v>0</v>
      </c>
      <c r="Q16" s="54">
        <f>ALL!AF112</f>
        <v>0</v>
      </c>
      <c r="R16" s="54">
        <f>ALL!AS112</f>
        <v>0</v>
      </c>
      <c r="S16" s="56">
        <f>ALL!AT112</f>
        <v>2116000</v>
      </c>
    </row>
    <row r="17" spans="1:19" x14ac:dyDescent="0.25">
      <c r="A17" s="32">
        <v>13</v>
      </c>
      <c r="B17" s="53" t="str">
        <f>ALL!C113</f>
        <v>Ust. Hasan Bahauddin</v>
      </c>
      <c r="C17" s="31"/>
      <c r="D17" s="31" t="s">
        <v>66</v>
      </c>
      <c r="E17" s="31"/>
      <c r="F17" s="54"/>
      <c r="G17" s="54"/>
      <c r="H17" s="55">
        <f>ALL!K113</f>
        <v>0</v>
      </c>
      <c r="I17" s="31">
        <f>ALL!L113</f>
        <v>0</v>
      </c>
      <c r="J17" s="54">
        <f>ALL!M113</f>
        <v>0</v>
      </c>
      <c r="K17" s="54">
        <f>ALL!N113</f>
        <v>0</v>
      </c>
      <c r="L17" s="54">
        <f>ALL!O113</f>
        <v>0</v>
      </c>
      <c r="M17" s="54">
        <f>ALL!P113</f>
        <v>0</v>
      </c>
      <c r="N17" s="32">
        <f>ALL!T114</f>
        <v>0</v>
      </c>
      <c r="O17" s="54">
        <f>ALL!Q113</f>
        <v>0</v>
      </c>
      <c r="P17" s="54">
        <f>ALL!U113</f>
        <v>0</v>
      </c>
      <c r="Q17" s="54">
        <f>ALL!AF113</f>
        <v>0</v>
      </c>
      <c r="R17" s="54">
        <f>ALL!AS113</f>
        <v>0</v>
      </c>
      <c r="S17" s="56">
        <f>ALL!AT113</f>
        <v>0</v>
      </c>
    </row>
    <row r="18" spans="1:19" x14ac:dyDescent="0.25">
      <c r="A18" s="32">
        <v>14</v>
      </c>
      <c r="B18" s="53" t="str">
        <f>ALL!C114</f>
        <v>Ust. Muh. Rojih Sibghotallah Al Hafidl</v>
      </c>
      <c r="C18" s="31"/>
      <c r="D18" s="31" t="s">
        <v>66</v>
      </c>
      <c r="E18" s="31"/>
      <c r="F18" s="54"/>
      <c r="G18" s="54"/>
      <c r="H18" s="55">
        <f>ALL!K114</f>
        <v>0</v>
      </c>
      <c r="I18" s="31">
        <f>ALL!L114</f>
        <v>0</v>
      </c>
      <c r="J18" s="54">
        <f>ALL!M114</f>
        <v>0</v>
      </c>
      <c r="K18" s="54">
        <f>ALL!N114</f>
        <v>0</v>
      </c>
      <c r="L18" s="54">
        <f>ALL!O114</f>
        <v>0</v>
      </c>
      <c r="M18" s="54">
        <f>ALL!P114</f>
        <v>0</v>
      </c>
      <c r="N18" s="32">
        <f>ALL!T115</f>
        <v>0</v>
      </c>
      <c r="O18" s="54">
        <f>ALL!Q114</f>
        <v>0</v>
      </c>
      <c r="P18" s="54">
        <f>ALL!U114</f>
        <v>24509</v>
      </c>
      <c r="Q18" s="54">
        <f>ALL!AF114</f>
        <v>0</v>
      </c>
      <c r="R18" s="54">
        <f>ALL!AS114</f>
        <v>0</v>
      </c>
      <c r="S18" s="56">
        <f>ALL!AT114</f>
        <v>24509</v>
      </c>
    </row>
    <row r="19" spans="1:19" x14ac:dyDescent="0.25">
      <c r="A19" s="32">
        <v>15</v>
      </c>
      <c r="B19" s="53" t="str">
        <f>ALL!C115</f>
        <v>Ust. Kholilur Rohman Al Hafidl</v>
      </c>
      <c r="C19" s="31"/>
      <c r="D19" s="31" t="s">
        <v>66</v>
      </c>
      <c r="E19" s="31"/>
      <c r="F19" s="54"/>
      <c r="G19" s="54"/>
      <c r="H19" s="55">
        <f>ALL!K115</f>
        <v>0</v>
      </c>
      <c r="I19" s="31">
        <f>ALL!L115</f>
        <v>0</v>
      </c>
      <c r="J19" s="54">
        <f>ALL!M115</f>
        <v>0</v>
      </c>
      <c r="K19" s="54">
        <f>ALL!N115</f>
        <v>0</v>
      </c>
      <c r="L19" s="54">
        <f>ALL!O115</f>
        <v>0</v>
      </c>
      <c r="M19" s="54">
        <f>ALL!P115</f>
        <v>0</v>
      </c>
      <c r="N19" s="32">
        <f>ALL!T116</f>
        <v>0</v>
      </c>
      <c r="O19" s="54">
        <f>ALL!Q115</f>
        <v>0</v>
      </c>
      <c r="P19" s="54">
        <f>ALL!U115</f>
        <v>0</v>
      </c>
      <c r="Q19" s="54">
        <f>ALL!AF115</f>
        <v>0</v>
      </c>
      <c r="R19" s="54">
        <f>ALL!AS115</f>
        <v>0</v>
      </c>
      <c r="S19" s="56">
        <f>ALL!AT115</f>
        <v>0</v>
      </c>
    </row>
    <row r="20" spans="1:19" x14ac:dyDescent="0.25">
      <c r="A20" s="32">
        <v>16</v>
      </c>
      <c r="B20" s="53" t="str">
        <f>ALL!C116</f>
        <v>Ust. Fatchurrohman</v>
      </c>
      <c r="C20" s="31"/>
      <c r="D20" s="31" t="s">
        <v>66</v>
      </c>
      <c r="E20" s="31"/>
      <c r="F20" s="54"/>
      <c r="G20" s="54"/>
      <c r="H20" s="55">
        <f>ALL!K116</f>
        <v>0</v>
      </c>
      <c r="I20" s="31">
        <f>ALL!L116</f>
        <v>0</v>
      </c>
      <c r="J20" s="54">
        <f>ALL!M116</f>
        <v>0</v>
      </c>
      <c r="K20" s="54">
        <f>ALL!N116</f>
        <v>0</v>
      </c>
      <c r="L20" s="54">
        <f>ALL!O116</f>
        <v>0</v>
      </c>
      <c r="M20" s="54">
        <f>ALL!P116</f>
        <v>0</v>
      </c>
      <c r="N20" s="32">
        <f>ALL!T117</f>
        <v>0</v>
      </c>
      <c r="O20" s="54">
        <f>ALL!Q116</f>
        <v>0</v>
      </c>
      <c r="P20" s="54">
        <f>ALL!U116</f>
        <v>0</v>
      </c>
      <c r="Q20" s="54">
        <f>ALL!AF116</f>
        <v>0</v>
      </c>
      <c r="R20" s="54">
        <f>ALL!AS116</f>
        <v>0</v>
      </c>
      <c r="S20" s="56">
        <f>ALL!AT116</f>
        <v>0</v>
      </c>
    </row>
    <row r="21" spans="1:19" x14ac:dyDescent="0.25">
      <c r="A21" s="32">
        <v>17</v>
      </c>
      <c r="B21" s="53" t="str">
        <f>ALL!C117</f>
        <v>Hendry Setya Laksono, S.Pd.</v>
      </c>
      <c r="C21" s="31"/>
      <c r="D21" s="31" t="s">
        <v>66</v>
      </c>
      <c r="E21" s="31"/>
      <c r="F21" s="54"/>
      <c r="G21" s="54"/>
      <c r="H21" s="55">
        <f>ALL!K117</f>
        <v>0</v>
      </c>
      <c r="I21" s="31">
        <f>ALL!L117</f>
        <v>0</v>
      </c>
      <c r="J21" s="54">
        <f>ALL!M117</f>
        <v>0</v>
      </c>
      <c r="K21" s="54">
        <f>ALL!N117</f>
        <v>0</v>
      </c>
      <c r="L21" s="54">
        <f>ALL!O117</f>
        <v>0</v>
      </c>
      <c r="M21" s="54">
        <f>ALL!P117</f>
        <v>0</v>
      </c>
      <c r="N21" s="32">
        <f>ALL!T118</f>
        <v>81400</v>
      </c>
      <c r="O21" s="54">
        <f>ALL!Q117</f>
        <v>0</v>
      </c>
      <c r="P21" s="54">
        <f>ALL!U117</f>
        <v>0</v>
      </c>
      <c r="Q21" s="54">
        <f>ALL!AF117</f>
        <v>0</v>
      </c>
      <c r="R21" s="54">
        <f>ALL!AS117</f>
        <v>0</v>
      </c>
      <c r="S21" s="56">
        <f>ALL!AT117</f>
        <v>0</v>
      </c>
    </row>
    <row r="22" spans="1:19" x14ac:dyDescent="0.25">
      <c r="A22" s="32"/>
      <c r="B22" s="53" t="str">
        <f>ALL!C118</f>
        <v>Supardi</v>
      </c>
      <c r="C22" s="31"/>
      <c r="D22" s="31" t="s">
        <v>66</v>
      </c>
      <c r="E22" s="31"/>
      <c r="F22" s="54"/>
      <c r="G22" s="54"/>
      <c r="H22" s="55">
        <f>ALL!K118</f>
        <v>800000</v>
      </c>
      <c r="I22" s="31">
        <f>ALL!L118</f>
        <v>0</v>
      </c>
      <c r="J22" s="54">
        <f>ALL!M118</f>
        <v>50000</v>
      </c>
      <c r="K22" s="54">
        <f>ALL!N118</f>
        <v>40000</v>
      </c>
      <c r="L22" s="54">
        <f>ALL!O118</f>
        <v>32000</v>
      </c>
      <c r="M22" s="54">
        <f>ALL!P118</f>
        <v>32500</v>
      </c>
      <c r="N22" s="32">
        <f>ALL!T119</f>
        <v>0</v>
      </c>
      <c r="O22" s="54">
        <f>ALL!Q118</f>
        <v>0</v>
      </c>
      <c r="P22" s="54">
        <f>ALL!U118</f>
        <v>0</v>
      </c>
      <c r="Q22" s="54">
        <f>ALL!AF118</f>
        <v>0</v>
      </c>
      <c r="R22" s="54">
        <f>ALL!AS118</f>
        <v>0</v>
      </c>
      <c r="S22" s="56">
        <f>ALL!AT118</f>
        <v>1035900</v>
      </c>
    </row>
    <row r="23" spans="1:19" x14ac:dyDescent="0.25">
      <c r="A23" s="58"/>
      <c r="B23" s="282"/>
      <c r="C23" s="283"/>
      <c r="D23" s="283"/>
      <c r="E23" s="283"/>
      <c r="F23" s="284"/>
      <c r="G23" s="284"/>
      <c r="H23" s="285"/>
      <c r="I23" s="283"/>
      <c r="J23" s="284"/>
      <c r="K23" s="284"/>
      <c r="L23" s="284"/>
      <c r="M23" s="284"/>
      <c r="N23" s="58"/>
      <c r="O23" s="284"/>
      <c r="P23" s="284"/>
      <c r="Q23" s="284"/>
      <c r="R23" s="284"/>
      <c r="S23" s="286">
        <f>SUM(S5:S22)</f>
        <v>27352409</v>
      </c>
    </row>
    <row r="24" spans="1:19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12" t="s">
        <v>489</v>
      </c>
      <c r="P24" s="48"/>
      <c r="Q24" s="48"/>
      <c r="R24" s="48"/>
      <c r="S24" s="48"/>
    </row>
    <row r="25" spans="1:19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162" t="s">
        <v>326</v>
      </c>
      <c r="P25" s="48"/>
      <c r="Q25" s="48"/>
      <c r="R25" s="48"/>
      <c r="S25" s="48"/>
    </row>
    <row r="26" spans="1:19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162" t="s">
        <v>325</v>
      </c>
      <c r="P26" s="48"/>
      <c r="Q26" s="48"/>
      <c r="R26" s="48"/>
      <c r="S26" s="48"/>
    </row>
    <row r="27" spans="1:19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162"/>
      <c r="P27" s="48"/>
      <c r="Q27" s="48"/>
      <c r="R27" s="48"/>
      <c r="S27" s="48"/>
    </row>
    <row r="28" spans="1:19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162"/>
      <c r="P28" s="48"/>
      <c r="Q28" s="48"/>
      <c r="R28" s="48"/>
      <c r="S28" s="48"/>
    </row>
    <row r="29" spans="1:19" x14ac:dyDescent="0.2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162"/>
      <c r="P29" s="48"/>
      <c r="Q29" s="48"/>
      <c r="R29" s="48"/>
      <c r="S29" s="48"/>
    </row>
    <row r="30" spans="1:19" x14ac:dyDescent="0.2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163" t="s">
        <v>107</v>
      </c>
      <c r="P30" s="48"/>
      <c r="Q30" s="48"/>
      <c r="R30" s="48"/>
      <c r="S30" s="48"/>
    </row>
    <row r="31" spans="1:19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162"/>
      <c r="P31" s="48"/>
      <c r="Q31" s="48"/>
      <c r="R31" s="48"/>
      <c r="S31" s="48"/>
    </row>
    <row r="32" spans="1:19" x14ac:dyDescent="0.2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162" t="s">
        <v>324</v>
      </c>
      <c r="N32" s="48"/>
      <c r="O32" s="162" t="s">
        <v>323</v>
      </c>
      <c r="P32" s="48"/>
      <c r="Q32" s="48"/>
      <c r="R32" s="48"/>
      <c r="S32" s="48"/>
    </row>
    <row r="33" spans="1:19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162" t="s">
        <v>121</v>
      </c>
      <c r="N33" s="48"/>
      <c r="O33" s="162" t="s">
        <v>322</v>
      </c>
      <c r="P33" s="48"/>
      <c r="Q33" s="48"/>
      <c r="R33" s="48"/>
      <c r="S33" s="48"/>
    </row>
    <row r="34" spans="1:19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162"/>
      <c r="N34" s="48"/>
      <c r="O34" s="162"/>
      <c r="P34" s="48"/>
      <c r="Q34" s="48"/>
      <c r="R34" s="48"/>
      <c r="S34" s="48"/>
    </row>
    <row r="35" spans="1:19" x14ac:dyDescent="0.25">
      <c r="K35" s="162"/>
      <c r="O35" s="162"/>
    </row>
    <row r="36" spans="1:19" x14ac:dyDescent="0.25">
      <c r="K36" s="162"/>
      <c r="O36" s="162"/>
    </row>
    <row r="37" spans="1:19" x14ac:dyDescent="0.25">
      <c r="K37" s="163" t="s">
        <v>327</v>
      </c>
      <c r="O37" s="163" t="s">
        <v>106</v>
      </c>
    </row>
    <row r="38" spans="1:19" x14ac:dyDescent="0.25">
      <c r="O38" s="82"/>
    </row>
    <row r="39" spans="1:19" x14ac:dyDescent="0.25">
      <c r="O39" s="162"/>
    </row>
    <row r="40" spans="1:19" x14ac:dyDescent="0.25">
      <c r="O40" s="162"/>
    </row>
    <row r="41" spans="1:19" x14ac:dyDescent="0.25">
      <c r="O41" s="162"/>
    </row>
    <row r="42" spans="1:19" x14ac:dyDescent="0.25">
      <c r="O42" s="162"/>
    </row>
    <row r="43" spans="1:19" x14ac:dyDescent="0.25">
      <c r="O43" s="162"/>
    </row>
    <row r="44" spans="1:19" x14ac:dyDescent="0.25">
      <c r="O44" s="163"/>
    </row>
  </sheetData>
  <mergeCells count="3">
    <mergeCell ref="R1:S1"/>
    <mergeCell ref="A1:Q1"/>
    <mergeCell ref="A2:Q2"/>
  </mergeCells>
  <printOptions horizontalCentered="1"/>
  <pageMargins left="0.23622047244094499" right="0.23622047244094499" top="0.74803149606299202" bottom="0.74803149606299202" header="0.31496062992126" footer="0.31496062992126"/>
  <pageSetup paperSize="10000" scale="85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SLIP GAJI</vt:lpstr>
      <vt:lpstr>REKAP</vt:lpstr>
      <vt:lpstr>Sheet1</vt:lpstr>
      <vt:lpstr>ALL</vt:lpstr>
      <vt:lpstr>SEKRETARIAT</vt:lpstr>
      <vt:lpstr>SD</vt:lpstr>
      <vt:lpstr>TPQ</vt:lpstr>
      <vt:lpstr>SMP</vt:lpstr>
      <vt:lpstr>BOARDING</vt:lpstr>
      <vt:lpstr>PAUD</vt:lpstr>
      <vt:lpstr>BPDD</vt:lpstr>
      <vt:lpstr>Sheet2</vt:lpstr>
      <vt:lpstr>DANSOS</vt:lpstr>
      <vt:lpstr>BPD</vt:lpstr>
      <vt:lpstr>BOARDING!Print_Area</vt:lpstr>
      <vt:lpstr>BPD!Print_Area</vt:lpstr>
      <vt:lpstr>BPDD!Print_Area</vt:lpstr>
      <vt:lpstr>PAUD!Print_Area</vt:lpstr>
      <vt:lpstr>REKAP!Print_Area</vt:lpstr>
      <vt:lpstr>SD!Print_Area</vt:lpstr>
      <vt:lpstr>SEKRETARIAT!Print_Area</vt:lpstr>
      <vt:lpstr>'SLIP GAJI'!Print_Area</vt:lpstr>
      <vt:lpstr>SMP!Print_Area</vt:lpstr>
      <vt:lpstr>TPQ!Print_Area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SDUT-Admin2</dc:creator>
  <cp:lastModifiedBy>PC</cp:lastModifiedBy>
  <cp:lastPrinted>2024-07-25T02:14:43Z</cp:lastPrinted>
  <dcterms:created xsi:type="dcterms:W3CDTF">2020-02-25T01:41:37Z</dcterms:created>
  <dcterms:modified xsi:type="dcterms:W3CDTF">2024-08-07T01:14:18Z</dcterms:modified>
</cp:coreProperties>
</file>