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8.xml" ContentType="application/vnd.openxmlformats-officedocument.spreadsheetml.worksheet+xml"/>
  <Override PartName="/xl/charts/chart9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30.xml" ContentType="application/vnd.openxmlformats-officedocument.drawingml.chart+xml"/>
  <Override PartName="/xl/charts/chart41.xml" ContentType="application/vnd.openxmlformats-officedocument.drawingml.char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drawings/drawing9.xml" ContentType="application/vnd.openxmlformats-officedocument.drawing+xml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  <Override PartName="/xl/drawings/drawing10.xml" ContentType="application/vnd.openxmlformats-officedocument.drawing+xml"/>
  <Override PartName="/xl/worksheets/sheet17.xml" ContentType="application/vnd.openxmlformats-officedocument.spreadsheetml.worksheet+xml"/>
  <Override PartName="/xl/charts/chart8.xml" ContentType="application/vnd.openxmlformats-officedocument.drawingml.chart+xml"/>
  <Override PartName="/xl/charts/chart11.xml" ContentType="application/vnd.openxmlformats-officedocument.drawingml.chart+xml"/>
  <Override PartName="/xl/charts/chart22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19425" windowHeight="10425" firstSheet="7" activeTab="12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  <externalReference r:id="rId22"/>
    <externalReference r:id="rId23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41" i="15"/>
  <c r="G42"/>
  <c r="AJ23" i="3"/>
  <c r="AJ24"/>
  <c r="AJ25"/>
  <c r="AJ26"/>
  <c r="AJ27"/>
  <c r="AJ28"/>
  <c r="AJ29"/>
  <c r="AJ30"/>
  <c r="AJ31"/>
  <c r="AJ32"/>
  <c r="AJ33"/>
  <c r="AJ22"/>
  <c r="AJ21"/>
  <c r="AJ34"/>
  <c r="AJ35"/>
  <c r="AJ36"/>
  <c r="AJ37"/>
  <c r="M17" i="12"/>
  <c r="T21" i="1"/>
  <c r="T19"/>
  <c r="T16"/>
  <c r="T17"/>
  <c r="T15"/>
  <c r="G12" i="15"/>
  <c r="T14" i="1"/>
  <c r="G87" i="22"/>
  <c r="I87" s="1"/>
  <c r="K87" s="1"/>
  <c r="B87"/>
  <c r="D87" s="1"/>
  <c r="F87" s="1"/>
  <c r="G86"/>
  <c r="I86" s="1"/>
  <c r="B86"/>
  <c r="D86" s="1"/>
  <c r="F86" s="1"/>
  <c r="G85"/>
  <c r="I85" s="1"/>
  <c r="D85"/>
  <c r="F85" s="1"/>
  <c r="B85"/>
  <c r="G84"/>
  <c r="I84" s="1"/>
  <c r="D84"/>
  <c r="F84" s="1"/>
  <c r="B84"/>
  <c r="G83"/>
  <c r="I83" s="1"/>
  <c r="K83" s="1"/>
  <c r="B83"/>
  <c r="D83" s="1"/>
  <c r="F83" s="1"/>
  <c r="G82"/>
  <c r="I82" s="1"/>
  <c r="B82"/>
  <c r="D82" s="1"/>
  <c r="F82" s="1"/>
  <c r="G81"/>
  <c r="I81" s="1"/>
  <c r="B81"/>
  <c r="D81" s="1"/>
  <c r="F81" s="1"/>
  <c r="K80"/>
  <c r="I80"/>
  <c r="G80"/>
  <c r="B80"/>
  <c r="D80" s="1"/>
  <c r="F80" s="1"/>
  <c r="I79"/>
  <c r="K79" s="1"/>
  <c r="G79"/>
  <c r="B79"/>
  <c r="D79" s="1"/>
  <c r="F79" s="1"/>
  <c r="G78"/>
  <c r="I78" s="1"/>
  <c r="B78"/>
  <c r="D78" s="1"/>
  <c r="F78" s="1"/>
  <c r="G77"/>
  <c r="I77" s="1"/>
  <c r="D77"/>
  <c r="F77" s="1"/>
  <c r="B77"/>
  <c r="G76"/>
  <c r="I76" s="1"/>
  <c r="D76"/>
  <c r="F76" s="1"/>
  <c r="B76"/>
  <c r="G75"/>
  <c r="I75" s="1"/>
  <c r="K75" s="1"/>
  <c r="B75"/>
  <c r="D75" s="1"/>
  <c r="F75" s="1"/>
  <c r="G74"/>
  <c r="I74" s="1"/>
  <c r="B74"/>
  <c r="D74" s="1"/>
  <c r="F74" s="1"/>
  <c r="G73"/>
  <c r="I73" s="1"/>
  <c r="B73"/>
  <c r="D73" s="1"/>
  <c r="F73" s="1"/>
  <c r="K72"/>
  <c r="I72"/>
  <c r="G72"/>
  <c r="B72"/>
  <c r="D72" s="1"/>
  <c r="F72" s="1"/>
  <c r="I71"/>
  <c r="K71" s="1"/>
  <c r="G71"/>
  <c r="B71"/>
  <c r="D71" s="1"/>
  <c r="F71" s="1"/>
  <c r="G70"/>
  <c r="I70" s="1"/>
  <c r="B70"/>
  <c r="D70" s="1"/>
  <c r="F70" s="1"/>
  <c r="G69"/>
  <c r="I69" s="1"/>
  <c r="D69"/>
  <c r="F69" s="1"/>
  <c r="B69"/>
  <c r="G68"/>
  <c r="I68" s="1"/>
  <c r="D68"/>
  <c r="F68" s="1"/>
  <c r="B68"/>
  <c r="G67"/>
  <c r="I67" s="1"/>
  <c r="K67" s="1"/>
  <c r="B67"/>
  <c r="D67" s="1"/>
  <c r="F67" s="1"/>
  <c r="G66"/>
  <c r="I66" s="1"/>
  <c r="B66"/>
  <c r="D66" s="1"/>
  <c r="F66" s="1"/>
  <c r="G65"/>
  <c r="I65" s="1"/>
  <c r="B65"/>
  <c r="D65" s="1"/>
  <c r="F65" s="1"/>
  <c r="K64"/>
  <c r="I64"/>
  <c r="G64"/>
  <c r="B64"/>
  <c r="D64" s="1"/>
  <c r="F64" s="1"/>
  <c r="I63"/>
  <c r="K63" s="1"/>
  <c r="G63"/>
  <c r="B63"/>
  <c r="D63" s="1"/>
  <c r="F63" s="1"/>
  <c r="G62"/>
  <c r="I62" s="1"/>
  <c r="B62"/>
  <c r="D62" s="1"/>
  <c r="F62" s="1"/>
  <c r="G61"/>
  <c r="I61" s="1"/>
  <c r="D61"/>
  <c r="F61" s="1"/>
  <c r="B61"/>
  <c r="G60"/>
  <c r="I60" s="1"/>
  <c r="D60"/>
  <c r="F60" s="1"/>
  <c r="B60"/>
  <c r="G59"/>
  <c r="I59" s="1"/>
  <c r="K59" s="1"/>
  <c r="B59"/>
  <c r="D59" s="1"/>
  <c r="F59" s="1"/>
  <c r="G58"/>
  <c r="I58" s="1"/>
  <c r="B58"/>
  <c r="D58" s="1"/>
  <c r="F58" s="1"/>
  <c r="G57"/>
  <c r="I57" s="1"/>
  <c r="B57"/>
  <c r="D57" s="1"/>
  <c r="F57" s="1"/>
  <c r="K56"/>
  <c r="I56"/>
  <c r="G56"/>
  <c r="B56"/>
  <c r="D56" s="1"/>
  <c r="F56" s="1"/>
  <c r="I55"/>
  <c r="K55" s="1"/>
  <c r="G55"/>
  <c r="B55"/>
  <c r="D55" s="1"/>
  <c r="F55" s="1"/>
  <c r="G54"/>
  <c r="I54" s="1"/>
  <c r="B54"/>
  <c r="D54" s="1"/>
  <c r="F54" s="1"/>
  <c r="G53"/>
  <c r="I53" s="1"/>
  <c r="D53"/>
  <c r="F53" s="1"/>
  <c r="B53"/>
  <c r="G52"/>
  <c r="I52" s="1"/>
  <c r="B52"/>
  <c r="D52" s="1"/>
  <c r="F52" s="1"/>
  <c r="G51"/>
  <c r="I51" s="1"/>
  <c r="K51" s="1"/>
  <c r="B51"/>
  <c r="D51" s="1"/>
  <c r="F51" s="1"/>
  <c r="G50"/>
  <c r="I50" s="1"/>
  <c r="B50"/>
  <c r="D50" s="1"/>
  <c r="F50" s="1"/>
  <c r="G49"/>
  <c r="I49" s="1"/>
  <c r="B49"/>
  <c r="D49" s="1"/>
  <c r="F49" s="1"/>
  <c r="K48"/>
  <c r="I48"/>
  <c r="G48"/>
  <c r="B48"/>
  <c r="D48" s="1"/>
  <c r="F48" s="1"/>
  <c r="I47"/>
  <c r="K47" s="1"/>
  <c r="G47"/>
  <c r="B47"/>
  <c r="D47" s="1"/>
  <c r="F47" s="1"/>
  <c r="G46"/>
  <c r="I46" s="1"/>
  <c r="B46"/>
  <c r="D46" s="1"/>
  <c r="F46" s="1"/>
  <c r="G45"/>
  <c r="I45" s="1"/>
  <c r="D45"/>
  <c r="F45" s="1"/>
  <c r="B45"/>
  <c r="G44"/>
  <c r="I44" s="1"/>
  <c r="D44"/>
  <c r="F44" s="1"/>
  <c r="B44"/>
  <c r="G43"/>
  <c r="I43" s="1"/>
  <c r="K43" s="1"/>
  <c r="B43"/>
  <c r="D43" s="1"/>
  <c r="F43" s="1"/>
  <c r="G42"/>
  <c r="I42" s="1"/>
  <c r="B42"/>
  <c r="D42" s="1"/>
  <c r="F42" s="1"/>
  <c r="G41"/>
  <c r="I41" s="1"/>
  <c r="B41"/>
  <c r="D41" s="1"/>
  <c r="F41" s="1"/>
  <c r="K40"/>
  <c r="I40"/>
  <c r="G40"/>
  <c r="B40"/>
  <c r="D40" s="1"/>
  <c r="F40" s="1"/>
  <c r="I39"/>
  <c r="K39" s="1"/>
  <c r="G39"/>
  <c r="B39"/>
  <c r="D39" s="1"/>
  <c r="F39" s="1"/>
  <c r="G38"/>
  <c r="I38" s="1"/>
  <c r="B38"/>
  <c r="D38" s="1"/>
  <c r="F38" s="1"/>
  <c r="G37"/>
  <c r="I37" s="1"/>
  <c r="D37"/>
  <c r="F37" s="1"/>
  <c r="B37"/>
  <c r="G36"/>
  <c r="I36" s="1"/>
  <c r="D36"/>
  <c r="F36" s="1"/>
  <c r="B36"/>
  <c r="G35"/>
  <c r="I35" s="1"/>
  <c r="K35" s="1"/>
  <c r="B35"/>
  <c r="D35" s="1"/>
  <c r="F35" s="1"/>
  <c r="G34"/>
  <c r="I34" s="1"/>
  <c r="B34"/>
  <c r="D34" s="1"/>
  <c r="F34" s="1"/>
  <c r="G33"/>
  <c r="I33" s="1"/>
  <c r="B33"/>
  <c r="D33" s="1"/>
  <c r="F33" s="1"/>
  <c r="K32"/>
  <c r="I32"/>
  <c r="G32"/>
  <c r="B32"/>
  <c r="D32" s="1"/>
  <c r="F32" s="1"/>
  <c r="I31"/>
  <c r="K31" s="1"/>
  <c r="G31"/>
  <c r="B31"/>
  <c r="D31" s="1"/>
  <c r="F31" s="1"/>
  <c r="G30"/>
  <c r="I30" s="1"/>
  <c r="B30"/>
  <c r="D30" s="1"/>
  <c r="F30" s="1"/>
  <c r="I29"/>
  <c r="G29"/>
  <c r="B29"/>
  <c r="D29" s="1"/>
  <c r="F29" s="1"/>
  <c r="G28"/>
  <c r="I28" s="1"/>
  <c r="D28"/>
  <c r="F28" s="1"/>
  <c r="B28"/>
  <c r="G27"/>
  <c r="I27" s="1"/>
  <c r="K27" s="1"/>
  <c r="B27"/>
  <c r="D27" s="1"/>
  <c r="F27" s="1"/>
  <c r="G26"/>
  <c r="I26" s="1"/>
  <c r="B26"/>
  <c r="D26" s="1"/>
  <c r="F26" s="1"/>
  <c r="G25"/>
  <c r="I25" s="1"/>
  <c r="B25"/>
  <c r="D25" s="1"/>
  <c r="F25" s="1"/>
  <c r="K24"/>
  <c r="I24"/>
  <c r="G24"/>
  <c r="B24"/>
  <c r="D24" s="1"/>
  <c r="F24" s="1"/>
  <c r="I23"/>
  <c r="K23" s="1"/>
  <c r="G23"/>
  <c r="B23"/>
  <c r="D23" s="1"/>
  <c r="F23" s="1"/>
  <c r="G22"/>
  <c r="I22" s="1"/>
  <c r="B22"/>
  <c r="D22" s="1"/>
  <c r="F22" s="1"/>
  <c r="G21"/>
  <c r="I21" s="1"/>
  <c r="F21"/>
  <c r="D21"/>
  <c r="B21"/>
  <c r="I20"/>
  <c r="K20" s="1"/>
  <c r="G20"/>
  <c r="B20"/>
  <c r="D20" s="1"/>
  <c r="F20" s="1"/>
  <c r="I19"/>
  <c r="K19" s="1"/>
  <c r="B19"/>
  <c r="D19" s="1"/>
  <c r="F19" s="1"/>
  <c r="I18"/>
  <c r="K18" s="1"/>
  <c r="G18"/>
  <c r="B18"/>
  <c r="D18" s="1"/>
  <c r="F18" s="1"/>
  <c r="G17"/>
  <c r="I17" s="1"/>
  <c r="K17" s="1"/>
  <c r="F17"/>
  <c r="D17"/>
  <c r="B17"/>
  <c r="G16"/>
  <c r="I16" s="1"/>
  <c r="K16" s="1"/>
  <c r="B16"/>
  <c r="D16" s="1"/>
  <c r="F16" s="1"/>
  <c r="G15"/>
  <c r="I15" s="1"/>
  <c r="K15" s="1"/>
  <c r="D15"/>
  <c r="F15" s="1"/>
  <c r="B15"/>
  <c r="G14"/>
  <c r="I14" s="1"/>
  <c r="K14" s="1"/>
  <c r="B14"/>
  <c r="D14" s="1"/>
  <c r="F14" s="1"/>
  <c r="G13"/>
  <c r="I13" s="1"/>
  <c r="K13" s="1"/>
  <c r="B13"/>
  <c r="D13" s="1"/>
  <c r="F13" s="1"/>
  <c r="I12"/>
  <c r="K12" s="1"/>
  <c r="G12"/>
  <c r="B12"/>
  <c r="D12" s="1"/>
  <c r="F12" s="1"/>
  <c r="G11"/>
  <c r="I11" s="1"/>
  <c r="K11" s="1"/>
  <c r="B11"/>
  <c r="D11" s="1"/>
  <c r="F11" s="1"/>
  <c r="I10"/>
  <c r="K10" s="1"/>
  <c r="G10"/>
  <c r="B10"/>
  <c r="D10" s="1"/>
  <c r="F10" s="1"/>
  <c r="G9"/>
  <c r="I9" s="1"/>
  <c r="K9" s="1"/>
  <c r="E9"/>
  <c r="B9"/>
  <c r="D9" s="1"/>
  <c r="G8"/>
  <c r="I8" s="1"/>
  <c r="K8" s="1"/>
  <c r="E8"/>
  <c r="B8"/>
  <c r="D8" s="1"/>
  <c r="I7"/>
  <c r="K7" s="1"/>
  <c r="G7"/>
  <c r="B7"/>
  <c r="D7" s="1"/>
  <c r="I6"/>
  <c r="K6" s="1"/>
  <c r="G6"/>
  <c r="B6"/>
  <c r="D6" s="1"/>
  <c r="G5"/>
  <c r="I5" s="1"/>
  <c r="K5" s="1"/>
  <c r="D5"/>
  <c r="B5"/>
  <c r="G4"/>
  <c r="I4" s="1"/>
  <c r="K4" s="1"/>
  <c r="B4"/>
  <c r="D4" s="1"/>
  <c r="I3"/>
  <c r="K3" s="1"/>
  <c r="G3"/>
  <c r="D3"/>
  <c r="F8" l="1"/>
  <c r="L25"/>
  <c r="K25"/>
  <c r="L68"/>
  <c r="K68"/>
  <c r="L29"/>
  <c r="L84"/>
  <c r="K84"/>
  <c r="L28"/>
  <c r="K28"/>
  <c r="L60"/>
  <c r="K60"/>
  <c r="L44"/>
  <c r="K44"/>
  <c r="L36"/>
  <c r="K36"/>
  <c r="L21"/>
  <c r="K21"/>
  <c r="L76"/>
  <c r="K76"/>
  <c r="L52"/>
  <c r="K52"/>
  <c r="K29"/>
  <c r="F9"/>
  <c r="L32"/>
  <c r="L48"/>
  <c r="L64"/>
  <c r="L80"/>
  <c r="L20"/>
  <c r="L24"/>
  <c r="L40"/>
  <c r="L56"/>
  <c r="L72"/>
  <c r="L22"/>
  <c r="K22"/>
  <c r="L30"/>
  <c r="K30"/>
  <c r="K33"/>
  <c r="L33"/>
  <c r="L38"/>
  <c r="K38"/>
  <c r="K41"/>
  <c r="L41"/>
  <c r="L46"/>
  <c r="K46"/>
  <c r="K49"/>
  <c r="L49"/>
  <c r="L54"/>
  <c r="K54"/>
  <c r="K57"/>
  <c r="L57"/>
  <c r="L62"/>
  <c r="K62"/>
  <c r="K65"/>
  <c r="L65"/>
  <c r="L70"/>
  <c r="K70"/>
  <c r="K73"/>
  <c r="L73"/>
  <c r="L78"/>
  <c r="K78"/>
  <c r="K81"/>
  <c r="L81"/>
  <c r="L86"/>
  <c r="K86"/>
  <c r="L26"/>
  <c r="K26"/>
  <c r="L34"/>
  <c r="K34"/>
  <c r="K37"/>
  <c r="L37"/>
  <c r="L42"/>
  <c r="K42"/>
  <c r="K45"/>
  <c r="L45"/>
  <c r="L50"/>
  <c r="K50"/>
  <c r="K53"/>
  <c r="L53"/>
  <c r="L58"/>
  <c r="K58"/>
  <c r="K61"/>
  <c r="L61"/>
  <c r="L66"/>
  <c r="K66"/>
  <c r="K69"/>
  <c r="L69"/>
  <c r="L74"/>
  <c r="K74"/>
  <c r="K77"/>
  <c r="L77"/>
  <c r="L82"/>
  <c r="K82"/>
  <c r="K85"/>
  <c r="L85"/>
  <c r="L23"/>
  <c r="L27"/>
  <c r="L31"/>
  <c r="L35"/>
  <c r="L39"/>
  <c r="L43"/>
  <c r="L47"/>
  <c r="L51"/>
  <c r="L55"/>
  <c r="L59"/>
  <c r="L63"/>
  <c r="L67"/>
  <c r="L71"/>
  <c r="L75"/>
  <c r="L79"/>
  <c r="L83"/>
  <c r="L87"/>
  <c r="AH7" i="3" l="1"/>
  <c r="AH8"/>
  <c r="AH9"/>
  <c r="AJ10"/>
  <c r="AJ11"/>
  <c r="AJ12"/>
  <c r="AJ13"/>
  <c r="AJ14"/>
  <c r="AJ15"/>
  <c r="AJ16"/>
  <c r="AJ17"/>
  <c r="AJ18"/>
  <c r="AJ19"/>
  <c r="AJ20"/>
  <c r="AJ7"/>
  <c r="AJ8"/>
  <c r="AJ9"/>
  <c r="A6" i="14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T25" i="1"/>
  <c r="T26"/>
  <c r="T27"/>
  <c r="T28"/>
  <c r="T24"/>
  <c r="T29"/>
  <c r="T30"/>
  <c r="T31"/>
  <c r="T32"/>
  <c r="T33"/>
  <c r="T34"/>
  <c r="T35"/>
  <c r="T36"/>
  <c r="T37"/>
  <c r="T38"/>
  <c r="T39"/>
  <c r="T40"/>
  <c r="T23"/>
  <c r="T22"/>
  <c r="Q15" i="3"/>
  <c r="T20" i="1"/>
  <c r="T18"/>
  <c r="B7" i="12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6"/>
  <c r="T41" i="1" l="1"/>
  <c r="AD11" i="3"/>
  <c r="AD12"/>
  <c r="AD13"/>
  <c r="AD14"/>
  <c r="AD15"/>
  <c r="AD16"/>
  <c r="K9" i="12"/>
  <c r="AK15" i="1"/>
  <c r="AK16"/>
  <c r="AK13"/>
  <c r="AK14"/>
  <c r="T13" l="1"/>
  <c r="G13" i="15"/>
  <c r="G14"/>
  <c r="G10"/>
  <c r="G11"/>
  <c r="T42" i="1"/>
  <c r="E34" i="24" s="1"/>
  <c r="T12" i="1"/>
  <c r="T11"/>
  <c r="T43"/>
  <c r="T44"/>
  <c r="B34" i="24"/>
  <c r="C34"/>
  <c r="A37" i="13"/>
  <c r="A37" i="12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1" i="15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E99" i="20"/>
  <c r="G99" s="1"/>
  <c r="B99"/>
  <c r="D99" s="1"/>
  <c r="E98"/>
  <c r="G98" s="1"/>
  <c r="B98"/>
  <c r="D98" s="1"/>
  <c r="E97"/>
  <c r="G97" s="1"/>
  <c r="B97"/>
  <c r="D97" s="1"/>
  <c r="E96"/>
  <c r="G96" s="1"/>
  <c r="B96"/>
  <c r="D96" s="1"/>
  <c r="E95"/>
  <c r="G95" s="1"/>
  <c r="B95"/>
  <c r="D95" s="1"/>
  <c r="E94"/>
  <c r="G94" s="1"/>
  <c r="B94"/>
  <c r="D94" s="1"/>
  <c r="E93"/>
  <c r="G93" s="1"/>
  <c r="B93"/>
  <c r="D93" s="1"/>
  <c r="E92"/>
  <c r="G92" s="1"/>
  <c r="B92"/>
  <c r="D92" s="1"/>
  <c r="E91"/>
  <c r="G91" s="1"/>
  <c r="B91"/>
  <c r="D91" s="1"/>
  <c r="E90"/>
  <c r="G90" s="1"/>
  <c r="B90"/>
  <c r="D90" s="1"/>
  <c r="E89"/>
  <c r="G89" s="1"/>
  <c r="B89"/>
  <c r="D89" s="1"/>
  <c r="E88"/>
  <c r="G88" s="1"/>
  <c r="B88"/>
  <c r="D88" s="1"/>
  <c r="E87"/>
  <c r="G87" s="1"/>
  <c r="B87"/>
  <c r="D87" s="1"/>
  <c r="E86"/>
  <c r="G86" s="1"/>
  <c r="B86"/>
  <c r="D86" s="1"/>
  <c r="E85"/>
  <c r="G85" s="1"/>
  <c r="B85"/>
  <c r="D85" s="1"/>
  <c r="E84"/>
  <c r="G84" s="1"/>
  <c r="B84"/>
  <c r="D84" s="1"/>
  <c r="E83"/>
  <c r="G83" s="1"/>
  <c r="B83"/>
  <c r="D83" s="1"/>
  <c r="E82"/>
  <c r="G82" s="1"/>
  <c r="B82"/>
  <c r="D82" s="1"/>
  <c r="E81"/>
  <c r="G81" s="1"/>
  <c r="B81"/>
  <c r="D81" s="1"/>
  <c r="E80"/>
  <c r="G80" s="1"/>
  <c r="B80"/>
  <c r="D80" s="1"/>
  <c r="E79"/>
  <c r="G79" s="1"/>
  <c r="B79"/>
  <c r="D79" s="1"/>
  <c r="E78"/>
  <c r="G78" s="1"/>
  <c r="B78"/>
  <c r="D78" s="1"/>
  <c r="E77"/>
  <c r="G77" s="1"/>
  <c r="B77"/>
  <c r="D77" s="1"/>
  <c r="E76"/>
  <c r="G76" s="1"/>
  <c r="B76"/>
  <c r="D76" s="1"/>
  <c r="E75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B65"/>
  <c r="D65" s="1"/>
  <c r="E64"/>
  <c r="G64" s="1"/>
  <c r="B64"/>
  <c r="D64" s="1"/>
  <c r="E63"/>
  <c r="G63" s="1"/>
  <c r="B63"/>
  <c r="D63" s="1"/>
  <c r="E62"/>
  <c r="G62" s="1"/>
  <c r="B62"/>
  <c r="D62" s="1"/>
  <c r="E61"/>
  <c r="G61" s="1"/>
  <c r="B61"/>
  <c r="D61" s="1"/>
  <c r="E60"/>
  <c r="G60" s="1"/>
  <c r="B60"/>
  <c r="D60" s="1"/>
  <c r="E59"/>
  <c r="G59" s="1"/>
  <c r="B59"/>
  <c r="D59" s="1"/>
  <c r="E58"/>
  <c r="G58" s="1"/>
  <c r="B58"/>
  <c r="D58" s="1"/>
  <c r="E57"/>
  <c r="G57" s="1"/>
  <c r="B57"/>
  <c r="D57" s="1"/>
  <c r="E56"/>
  <c r="G56" s="1"/>
  <c r="B56"/>
  <c r="D56" s="1"/>
  <c r="E55"/>
  <c r="G55" s="1"/>
  <c r="B55"/>
  <c r="D55" s="1"/>
  <c r="E54"/>
  <c r="G54" s="1"/>
  <c r="B54"/>
  <c r="D54" s="1"/>
  <c r="E53"/>
  <c r="G53" s="1"/>
  <c r="B53"/>
  <c r="D53" s="1"/>
  <c r="E52"/>
  <c r="G52" s="1"/>
  <c r="B52"/>
  <c r="D52" s="1"/>
  <c r="E51"/>
  <c r="G51" s="1"/>
  <c r="B51"/>
  <c r="D51" s="1"/>
  <c r="E50"/>
  <c r="G50" s="1"/>
  <c r="B50"/>
  <c r="D50" s="1"/>
  <c r="E49"/>
  <c r="G49" s="1"/>
  <c r="B49"/>
  <c r="D49" s="1"/>
  <c r="E48"/>
  <c r="G48" s="1"/>
  <c r="B48"/>
  <c r="D48" s="1"/>
  <c r="E47"/>
  <c r="G47" s="1"/>
  <c r="B47"/>
  <c r="D47" s="1"/>
  <c r="E46"/>
  <c r="G46" s="1"/>
  <c r="B46"/>
  <c r="D46" s="1"/>
  <c r="E45"/>
  <c r="G45" s="1"/>
  <c r="B45"/>
  <c r="D45" s="1"/>
  <c r="E44"/>
  <c r="G44" s="1"/>
  <c r="B44"/>
  <c r="D44" s="1"/>
  <c r="E43"/>
  <c r="G43" s="1"/>
  <c r="B43"/>
  <c r="D43" s="1"/>
  <c r="E42"/>
  <c r="G42" s="1"/>
  <c r="B42"/>
  <c r="D42" s="1"/>
  <c r="E41"/>
  <c r="G41" s="1"/>
  <c r="B41"/>
  <c r="D41" s="1"/>
  <c r="E40"/>
  <c r="G40" s="1"/>
  <c r="B40"/>
  <c r="D40" s="1"/>
  <c r="E39"/>
  <c r="G39" s="1"/>
  <c r="B39"/>
  <c r="D39" s="1"/>
  <c r="E38"/>
  <c r="G38" s="1"/>
  <c r="B38"/>
  <c r="D38" s="1"/>
  <c r="E37"/>
  <c r="G37" s="1"/>
  <c r="B37"/>
  <c r="D37" s="1"/>
  <c r="E36"/>
  <c r="G36" s="1"/>
  <c r="B36"/>
  <c r="D36" s="1"/>
  <c r="E35"/>
  <c r="G35" s="1"/>
  <c r="B35"/>
  <c r="D35" s="1"/>
  <c r="E34"/>
  <c r="G34" s="1"/>
  <c r="B34"/>
  <c r="D34" s="1"/>
  <c r="E33"/>
  <c r="G33" s="1"/>
  <c r="B33"/>
  <c r="D33" s="1"/>
  <c r="E32"/>
  <c r="G32" s="1"/>
  <c r="B32"/>
  <c r="D32" s="1"/>
  <c r="E31"/>
  <c r="G31" s="1"/>
  <c r="B31"/>
  <c r="D31" s="1"/>
  <c r="E30"/>
  <c r="G30" s="1"/>
  <c r="B30"/>
  <c r="D30" s="1"/>
  <c r="E29"/>
  <c r="G29" s="1"/>
  <c r="B29"/>
  <c r="D29" s="1"/>
  <c r="E28"/>
  <c r="G28" s="1"/>
  <c r="B28"/>
  <c r="D28" s="1"/>
  <c r="E27"/>
  <c r="G27" s="1"/>
  <c r="B27"/>
  <c r="D27" s="1"/>
  <c r="E26"/>
  <c r="G26" s="1"/>
  <c r="B26"/>
  <c r="D26" s="1"/>
  <c r="E25"/>
  <c r="G25" s="1"/>
  <c r="B25"/>
  <c r="D25" s="1"/>
  <c r="E24"/>
  <c r="G24" s="1"/>
  <c r="B24"/>
  <c r="D24" s="1"/>
  <c r="E23"/>
  <c r="G23" s="1"/>
  <c r="B23"/>
  <c r="D23" s="1"/>
  <c r="E22"/>
  <c r="G22" s="1"/>
  <c r="B22"/>
  <c r="D22" s="1"/>
  <c r="E21"/>
  <c r="G21" s="1"/>
  <c r="B21"/>
  <c r="D21" s="1"/>
  <c r="E20"/>
  <c r="G20" s="1"/>
  <c r="B20"/>
  <c r="D20" s="1"/>
  <c r="E19"/>
  <c r="G19" s="1"/>
  <c r="B19"/>
  <c r="D19" s="1"/>
  <c r="E18"/>
  <c r="G18" s="1"/>
  <c r="B18"/>
  <c r="D18" s="1"/>
  <c r="E17"/>
  <c r="G17" s="1"/>
  <c r="B17"/>
  <c r="D17" s="1"/>
  <c r="E16"/>
  <c r="G16" s="1"/>
  <c r="B16"/>
  <c r="D16" s="1"/>
  <c r="E15"/>
  <c r="G15" s="1"/>
  <c r="B15"/>
  <c r="D15" s="1"/>
  <c r="E14"/>
  <c r="G14" s="1"/>
  <c r="B14"/>
  <c r="D14" s="1"/>
  <c r="E13"/>
  <c r="G13" s="1"/>
  <c r="B13"/>
  <c r="D13" s="1"/>
  <c r="E12"/>
  <c r="G12" s="1"/>
  <c r="B12"/>
  <c r="D12" s="1"/>
  <c r="E11"/>
  <c r="G11" s="1"/>
  <c r="B11"/>
  <c r="D11" s="1"/>
  <c r="E10"/>
  <c r="G10" s="1"/>
  <c r="B10"/>
  <c r="D10" s="1"/>
  <c r="E9"/>
  <c r="G9" s="1"/>
  <c r="B9"/>
  <c r="D9" s="1"/>
  <c r="E8"/>
  <c r="G8" s="1"/>
  <c r="B8"/>
  <c r="D8" s="1"/>
  <c r="E7"/>
  <c r="G7" s="1"/>
  <c r="B7"/>
  <c r="D7" s="1"/>
  <c r="E6"/>
  <c r="G6" s="1"/>
  <c r="B6"/>
  <c r="D6" s="1"/>
  <c r="G5"/>
  <c r="D5"/>
  <c r="B5"/>
  <c r="G4"/>
  <c r="D4"/>
  <c r="I45" i="1" l="1"/>
  <c r="J45"/>
  <c r="K45"/>
  <c r="L45"/>
  <c r="M45"/>
  <c r="N45"/>
  <c r="O45"/>
  <c r="P45"/>
  <c r="Q45"/>
  <c r="R45"/>
  <c r="S45"/>
  <c r="T9"/>
  <c r="AS9" s="1"/>
  <c r="U9"/>
  <c r="T10"/>
  <c r="V10" s="1"/>
  <c r="U10"/>
  <c r="AK10"/>
  <c r="U11"/>
  <c r="V11" s="1"/>
  <c r="AK11"/>
  <c r="U12"/>
  <c r="V12" s="1"/>
  <c r="AK12"/>
  <c r="AS12" s="1"/>
  <c r="AT12" s="1"/>
  <c r="U13"/>
  <c r="V13" s="1"/>
  <c r="AS13"/>
  <c r="AT13" s="1"/>
  <c r="U14"/>
  <c r="V14" s="1"/>
  <c r="U15"/>
  <c r="U16"/>
  <c r="V16" s="1"/>
  <c r="AS16"/>
  <c r="AT16" s="1"/>
  <c r="U17"/>
  <c r="AK17"/>
  <c r="AS17" s="1"/>
  <c r="AT17" s="1"/>
  <c r="U18"/>
  <c r="AK18"/>
  <c r="U19"/>
  <c r="V19" s="1"/>
  <c r="AK19"/>
  <c r="U20"/>
  <c r="AK20"/>
  <c r="U21"/>
  <c r="AK21"/>
  <c r="AS21" s="1"/>
  <c r="AT21" s="1"/>
  <c r="U22"/>
  <c r="AK22"/>
  <c r="U23"/>
  <c r="V23" s="1"/>
  <c r="AK23"/>
  <c r="U24"/>
  <c r="AK24"/>
  <c r="U25"/>
  <c r="AK25"/>
  <c r="U26"/>
  <c r="AK26"/>
  <c r="U27"/>
  <c r="V27" s="1"/>
  <c r="AK27"/>
  <c r="U28"/>
  <c r="AK28"/>
  <c r="U29"/>
  <c r="V29" s="1"/>
  <c r="AK29"/>
  <c r="AS29" s="1"/>
  <c r="AT29" s="1"/>
  <c r="U30"/>
  <c r="V30" s="1"/>
  <c r="AK30"/>
  <c r="U31"/>
  <c r="V31" s="1"/>
  <c r="AK31"/>
  <c r="U32"/>
  <c r="V32" s="1"/>
  <c r="AK32"/>
  <c r="U33"/>
  <c r="V33" s="1"/>
  <c r="AK33"/>
  <c r="U34"/>
  <c r="V34" s="1"/>
  <c r="AK34"/>
  <c r="U35"/>
  <c r="AK35"/>
  <c r="U36"/>
  <c r="AK36"/>
  <c r="AS36" s="1"/>
  <c r="U37"/>
  <c r="V37" s="1"/>
  <c r="AK37"/>
  <c r="U38"/>
  <c r="V38" s="1"/>
  <c r="AK38"/>
  <c r="U39"/>
  <c r="AK39"/>
  <c r="U40"/>
  <c r="AK40"/>
  <c r="AS40" s="1"/>
  <c r="U41"/>
  <c r="AK41"/>
  <c r="U42"/>
  <c r="F34" i="24" s="1"/>
  <c r="AK42" i="1"/>
  <c r="I34" i="24" s="1"/>
  <c r="U43" i="1"/>
  <c r="AK43"/>
  <c r="AK44"/>
  <c r="W45"/>
  <c r="X45"/>
  <c r="Y45"/>
  <c r="Z45"/>
  <c r="AA45"/>
  <c r="AB45"/>
  <c r="AC45"/>
  <c r="AD45"/>
  <c r="AE45"/>
  <c r="AF45"/>
  <c r="AG45"/>
  <c r="AH45"/>
  <c r="AI45"/>
  <c r="AJ45"/>
  <c r="U45" l="1"/>
  <c r="AS32"/>
  <c r="AT32" s="1"/>
  <c r="AS31"/>
  <c r="AT31" s="1"/>
  <c r="AS30"/>
  <c r="AT30" s="1"/>
  <c r="AS11"/>
  <c r="AT11" s="1"/>
  <c r="AS41"/>
  <c r="V40"/>
  <c r="AS33"/>
  <c r="AS35"/>
  <c r="AS25"/>
  <c r="AT25" s="1"/>
  <c r="AS44"/>
  <c r="AT44" s="1"/>
  <c r="AS42"/>
  <c r="AT42" s="1"/>
  <c r="AS38"/>
  <c r="V36"/>
  <c r="AS34"/>
  <c r="V28"/>
  <c r="AS26"/>
  <c r="AT26" s="1"/>
  <c r="V24"/>
  <c r="AS22"/>
  <c r="AT22" s="1"/>
  <c r="V20"/>
  <c r="AS18"/>
  <c r="AT18" s="1"/>
  <c r="AS14"/>
  <c r="AT14" s="1"/>
  <c r="V15"/>
  <c r="AS15"/>
  <c r="AT15" s="1"/>
  <c r="V39"/>
  <c r="AS39"/>
  <c r="AS43"/>
  <c r="AT43" s="1"/>
  <c r="V41"/>
  <c r="AS37"/>
  <c r="V35"/>
  <c r="AS20"/>
  <c r="AT20" s="1"/>
  <c r="AS19"/>
  <c r="AT19" s="1"/>
  <c r="V18"/>
  <c r="V17"/>
  <c r="AS28"/>
  <c r="AT28" s="1"/>
  <c r="AS27"/>
  <c r="AT27" s="1"/>
  <c r="V26"/>
  <c r="AS24"/>
  <c r="AT24" s="1"/>
  <c r="AS23"/>
  <c r="AT23" s="1"/>
  <c r="V22"/>
  <c r="V21"/>
  <c r="AK45"/>
  <c r="AS10"/>
  <c r="V25"/>
  <c r="V45" l="1"/>
  <c r="AS45"/>
  <c r="AS47" s="1"/>
  <c r="AS48" s="1"/>
  <c r="E14" i="3"/>
  <c r="E15"/>
  <c r="J50" l="1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H47"/>
  <c r="H48"/>
  <c r="H49"/>
  <c r="H46"/>
  <c r="F47"/>
  <c r="F48"/>
  <c r="F49"/>
  <c r="F46"/>
  <c r="D47"/>
  <c r="D48"/>
  <c r="D49"/>
  <c r="D46"/>
  <c r="H11" i="15" l="1"/>
  <c r="I11" s="1"/>
  <c r="J11" s="1"/>
  <c r="H12"/>
  <c r="I12" s="1"/>
  <c r="J12" s="1"/>
  <c r="H13"/>
  <c r="I13" s="1"/>
  <c r="J13" s="1"/>
  <c r="H14"/>
  <c r="I14" s="1"/>
  <c r="J14" s="1"/>
  <c r="H15"/>
  <c r="I15" s="1"/>
  <c r="H16"/>
  <c r="I16" s="1"/>
  <c r="H17"/>
  <c r="I17" s="1"/>
  <c r="H18"/>
  <c r="I18" s="1"/>
  <c r="H19"/>
  <c r="I19" s="1"/>
  <c r="H20"/>
  <c r="I20" s="1"/>
  <c r="H21"/>
  <c r="I21" s="1"/>
  <c r="H22"/>
  <c r="I22" s="1"/>
  <c r="H23"/>
  <c r="I23" s="1"/>
  <c r="H24"/>
  <c r="I24" s="1"/>
  <c r="H25"/>
  <c r="I25" s="1"/>
  <c r="H26"/>
  <c r="I26" s="1"/>
  <c r="H27"/>
  <c r="I27" s="1"/>
  <c r="H28"/>
  <c r="I28" s="1"/>
  <c r="H29"/>
  <c r="H30"/>
  <c r="H31"/>
  <c r="H32"/>
  <c r="H33"/>
  <c r="H34"/>
  <c r="H35"/>
  <c r="H36"/>
  <c r="H37"/>
  <c r="H38"/>
  <c r="H39"/>
  <c r="H40"/>
  <c r="H41"/>
  <c r="H10"/>
  <c r="I29" l="1"/>
  <c r="I30"/>
  <c r="I31"/>
  <c r="I32"/>
  <c r="I33"/>
  <c r="I34"/>
  <c r="I35"/>
  <c r="I36"/>
  <c r="I37"/>
  <c r="I38"/>
  <c r="I39"/>
  <c r="I40"/>
  <c r="I41"/>
  <c r="G15"/>
  <c r="J15" s="1"/>
  <c r="G16"/>
  <c r="J16" s="1"/>
  <c r="G17"/>
  <c r="J17" s="1"/>
  <c r="G18"/>
  <c r="J18" s="1"/>
  <c r="G19"/>
  <c r="J19" s="1"/>
  <c r="G20"/>
  <c r="J20" s="1"/>
  <c r="G21"/>
  <c r="J21" s="1"/>
  <c r="G22"/>
  <c r="J22" s="1"/>
  <c r="G23"/>
  <c r="J23" s="1"/>
  <c r="G24"/>
  <c r="J24" s="1"/>
  <c r="G25"/>
  <c r="J25" s="1"/>
  <c r="G26"/>
  <c r="J26" s="1"/>
  <c r="G27"/>
  <c r="J27" s="1"/>
  <c r="G28"/>
  <c r="J28" s="1"/>
  <c r="G29"/>
  <c r="G30"/>
  <c r="G31"/>
  <c r="G32"/>
  <c r="G33"/>
  <c r="G34"/>
  <c r="G35"/>
  <c r="G36"/>
  <c r="G37"/>
  <c r="G38"/>
  <c r="G39"/>
  <c r="G40"/>
  <c r="E7" i="3" l="1"/>
  <c r="F6" i="23" s="1"/>
  <c r="E8" i="3"/>
  <c r="F7" i="23" s="1"/>
  <c r="E9" i="3"/>
  <c r="F8" i="23" s="1"/>
  <c r="E6" i="3"/>
  <c r="F5" i="23" s="1"/>
  <c r="Q7" i="3"/>
  <c r="Q8"/>
  <c r="Q9"/>
  <c r="Q10"/>
  <c r="Q11"/>
  <c r="Q12"/>
  <c r="Q13"/>
  <c r="Q14"/>
  <c r="Q16"/>
  <c r="Q17"/>
  <c r="Q18"/>
  <c r="Q19"/>
  <c r="Q20"/>
  <c r="Q21"/>
  <c r="Q22"/>
  <c r="Q23"/>
  <c r="Q24"/>
  <c r="O5"/>
  <c r="O7"/>
  <c r="O8"/>
  <c r="O9"/>
  <c r="O10"/>
  <c r="O11"/>
  <c r="O12"/>
  <c r="O13"/>
  <c r="O14"/>
  <c r="O15"/>
  <c r="O16"/>
  <c r="O17"/>
  <c r="O18"/>
  <c r="O19"/>
  <c r="O20"/>
  <c r="O21"/>
  <c r="O22"/>
  <c r="O23"/>
  <c r="O24"/>
  <c r="N7"/>
  <c r="N8"/>
  <c r="N9"/>
  <c r="N10"/>
  <c r="N11"/>
  <c r="N12"/>
  <c r="N13"/>
  <c r="N14"/>
  <c r="N15"/>
  <c r="N16"/>
  <c r="N17"/>
  <c r="N18"/>
  <c r="N19"/>
  <c r="N20"/>
  <c r="N21"/>
  <c r="N22"/>
  <c r="N23"/>
  <c r="N24"/>
  <c r="L5"/>
  <c r="L7"/>
  <c r="L8"/>
  <c r="L9"/>
  <c r="L10"/>
  <c r="L11"/>
  <c r="L12"/>
  <c r="L13"/>
  <c r="L14"/>
  <c r="L15"/>
  <c r="L18"/>
  <c r="L19"/>
  <c r="L20"/>
  <c r="L21"/>
  <c r="L22"/>
  <c r="L23"/>
  <c r="L24"/>
  <c r="K7"/>
  <c r="K8"/>
  <c r="K9"/>
  <c r="K10"/>
  <c r="K11"/>
  <c r="K12"/>
  <c r="K13"/>
  <c r="K14"/>
  <c r="K15"/>
  <c r="K16"/>
  <c r="K17"/>
  <c r="K18"/>
  <c r="K19"/>
  <c r="K20"/>
  <c r="K21"/>
  <c r="K22"/>
  <c r="K23"/>
  <c r="K24"/>
  <c r="I5"/>
  <c r="I7"/>
  <c r="I8"/>
  <c r="I9"/>
  <c r="I10"/>
  <c r="I11"/>
  <c r="I12"/>
  <c r="I13"/>
  <c r="I14"/>
  <c r="I15"/>
  <c r="I16"/>
  <c r="I17"/>
  <c r="I19"/>
  <c r="I20"/>
  <c r="I21"/>
  <c r="I22"/>
  <c r="I23"/>
  <c r="I24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V4" i="18" l="1"/>
  <c r="D4"/>
  <c r="Y28" i="12"/>
  <c r="Y29"/>
  <c r="W7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W29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7"/>
  <c r="P17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M9"/>
  <c r="K10"/>
  <c r="M10" s="1"/>
  <c r="K11"/>
  <c r="M11" s="1"/>
  <c r="K12"/>
  <c r="M12" s="1"/>
  <c r="K13"/>
  <c r="M13" s="1"/>
  <c r="K14"/>
  <c r="M14" s="1"/>
  <c r="K15"/>
  <c r="M15" s="1"/>
  <c r="K16"/>
  <c r="M16" s="1"/>
  <c r="K17"/>
  <c r="K18"/>
  <c r="M18" s="1"/>
  <c r="K19"/>
  <c r="M19" s="1"/>
  <c r="K20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Z30" l="1"/>
  <c r="Z37"/>
  <c r="Z35"/>
  <c r="Z27"/>
  <c r="Z36"/>
  <c r="Z29"/>
  <c r="Z34"/>
  <c r="Z33"/>
  <c r="Z28"/>
  <c r="Z32"/>
  <c r="Z31"/>
  <c r="Z26"/>
  <c r="Z25"/>
  <c r="Z24"/>
  <c r="Z23"/>
  <c r="Z22"/>
  <c r="Z21"/>
  <c r="Z20"/>
  <c r="Z19"/>
  <c r="Z18"/>
  <c r="Z17"/>
  <c r="Z16"/>
  <c r="Z15"/>
  <c r="Z14"/>
  <c r="Z13"/>
  <c r="Z12"/>
  <c r="Z11"/>
  <c r="Z10"/>
  <c r="Z9"/>
  <c r="Z8"/>
  <c r="Z7"/>
  <c r="H5" i="3"/>
  <c r="H6"/>
  <c r="K5"/>
  <c r="K6"/>
  <c r="I6"/>
  <c r="Q6"/>
  <c r="O6"/>
  <c r="Q5"/>
  <c r="N5"/>
  <c r="N6"/>
  <c r="L6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AC19"/>
  <c r="H18" i="23" s="1"/>
  <c r="Q20" i="13"/>
  <c r="R20" s="1"/>
  <c r="U20"/>
  <c r="V20" s="1"/>
  <c r="Y20"/>
  <c r="Z20" s="1"/>
  <c r="AA20" s="1"/>
  <c r="AC20"/>
  <c r="H19" i="23" s="1"/>
  <c r="Q21" i="13"/>
  <c r="R21" s="1"/>
  <c r="U21"/>
  <c r="V21" s="1"/>
  <c r="Y21"/>
  <c r="Z21" s="1"/>
  <c r="AA21" s="1"/>
  <c r="AC21"/>
  <c r="H20" i="23" s="1"/>
  <c r="Q22" i="13"/>
  <c r="R22" s="1"/>
  <c r="U22"/>
  <c r="V22" s="1"/>
  <c r="Y22"/>
  <c r="Z22" s="1"/>
  <c r="AA22" s="1"/>
  <c r="AC22"/>
  <c r="H21" i="23" s="1"/>
  <c r="Q23" i="13"/>
  <c r="R23" s="1"/>
  <c r="U23"/>
  <c r="V23" s="1"/>
  <c r="Y23"/>
  <c r="Z23" s="1"/>
  <c r="AA23" s="1"/>
  <c r="AC23"/>
  <c r="H22" i="23" s="1"/>
  <c r="Q24" i="13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0" i="3"/>
  <c r="U21"/>
  <c r="U22"/>
  <c r="U23"/>
  <c r="U24"/>
  <c r="U25"/>
  <c r="X19"/>
  <c r="X20"/>
  <c r="X21"/>
  <c r="X22"/>
  <c r="X23"/>
  <c r="X24"/>
  <c r="AA19"/>
  <c r="AA20"/>
  <c r="AA21"/>
  <c r="AA22"/>
  <c r="AA23"/>
  <c r="AA24"/>
  <c r="AA25"/>
  <c r="AD19"/>
  <c r="AD20"/>
  <c r="AD21"/>
  <c r="AD22"/>
  <c r="AD23"/>
  <c r="AD24"/>
  <c r="AG19"/>
  <c r="AG20"/>
  <c r="AG21"/>
  <c r="AG22"/>
  <c r="AG23"/>
  <c r="AG24"/>
  <c r="AG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J6"/>
  <c r="AG37"/>
  <c r="AG36"/>
  <c r="AG35"/>
  <c r="AG34"/>
  <c r="AG33"/>
  <c r="AG32"/>
  <c r="AG31"/>
  <c r="AG30"/>
  <c r="AG29"/>
  <c r="AG28"/>
  <c r="AG27"/>
  <c r="AG26"/>
  <c r="AG18"/>
  <c r="AG17"/>
  <c r="AG16"/>
  <c r="AG15"/>
  <c r="AG14"/>
  <c r="AG13"/>
  <c r="AG12"/>
  <c r="AG11"/>
  <c r="AG10"/>
  <c r="AG9"/>
  <c r="AG8"/>
  <c r="AG7"/>
  <c r="AG6"/>
  <c r="AD37"/>
  <c r="AD36"/>
  <c r="AD35"/>
  <c r="AD34"/>
  <c r="AD33"/>
  <c r="AD32"/>
  <c r="AD31"/>
  <c r="AD30"/>
  <c r="AD29"/>
  <c r="AD28"/>
  <c r="AD27"/>
  <c r="AD26"/>
  <c r="AD25"/>
  <c r="AD18"/>
  <c r="AD17"/>
  <c r="AD10"/>
  <c r="AD9"/>
  <c r="AD8"/>
  <c r="AD7"/>
  <c r="AD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18"/>
  <c r="U19"/>
  <c r="U26"/>
  <c r="U27"/>
  <c r="U28"/>
  <c r="U29"/>
  <c r="U30"/>
  <c r="U31"/>
  <c r="U32"/>
  <c r="U33"/>
  <c r="U34"/>
  <c r="U35"/>
  <c r="U36"/>
  <c r="U37"/>
  <c r="U6"/>
  <c r="U7"/>
  <c r="U8"/>
  <c r="U9"/>
  <c r="U10"/>
  <c r="U11"/>
  <c r="U12"/>
  <c r="U13"/>
  <c r="U14"/>
  <c r="U15"/>
  <c r="U16"/>
  <c r="U17"/>
  <c r="Q37"/>
  <c r="Q36"/>
  <c r="Q35"/>
  <c r="Q34"/>
  <c r="Q33"/>
  <c r="Q32"/>
  <c r="Q31"/>
  <c r="Q30"/>
  <c r="Q29"/>
  <c r="Q28"/>
  <c r="Q27"/>
  <c r="Q26"/>
  <c r="Q25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K27"/>
  <c r="K26"/>
  <c r="K25"/>
  <c r="H26"/>
  <c r="H27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F21" i="23" s="1"/>
  <c r="E23" i="3"/>
  <c r="F22" i="23" s="1"/>
  <c r="E24" i="3"/>
  <c r="F23" i="23" s="1"/>
  <c r="E25" i="3"/>
  <c r="F24" i="23" s="1"/>
  <c r="E26" i="3"/>
  <c r="F25" i="23" s="1"/>
  <c r="E27" i="3"/>
  <c r="F26" i="23" s="1"/>
  <c r="E28" i="3"/>
  <c r="F27" i="23" s="1"/>
  <c r="E29" i="3"/>
  <c r="F28" i="23" s="1"/>
  <c r="E30" i="3"/>
  <c r="F29" i="23" s="1"/>
  <c r="E31" i="3"/>
  <c r="F30" i="23" s="1"/>
  <c r="E32" i="3"/>
  <c r="F31" i="23" s="1"/>
  <c r="E33" i="3"/>
  <c r="F32" i="23" s="1"/>
  <c r="E34" i="3"/>
  <c r="F33" i="23" s="1"/>
  <c r="E35" i="3"/>
  <c r="F34" i="23" s="1"/>
  <c r="E36" i="3"/>
  <c r="F35" i="23" s="1"/>
  <c r="E37" i="3"/>
  <c r="E5"/>
  <c r="E10"/>
  <c r="F9" i="23" s="1"/>
  <c r="E11" i="3"/>
  <c r="F10" i="23" s="1"/>
  <c r="E12" i="3"/>
  <c r="F11" i="23" s="1"/>
  <c r="E13" i="3"/>
  <c r="F12" i="23" s="1"/>
  <c r="F13"/>
  <c r="F14"/>
  <c r="E16" i="3"/>
  <c r="F15" i="23" s="1"/>
  <c r="E17" i="3"/>
  <c r="F16" i="23" s="1"/>
  <c r="G34" i="24" l="1"/>
  <c r="F36" i="23"/>
  <c r="U38" i="3"/>
  <c r="C43" i="1"/>
  <c r="D21" i="23"/>
  <c r="D22"/>
  <c r="AC23" i="12" l="1"/>
  <c r="AC18"/>
  <c r="D17" i="23"/>
  <c r="AC19" i="12"/>
  <c r="D18" i="23"/>
  <c r="AC20" i="12"/>
  <c r="D19" i="23"/>
  <c r="AC21" i="12"/>
  <c r="D20" i="23"/>
  <c r="AC22" i="12"/>
  <c r="AC15"/>
  <c r="D14" i="23"/>
  <c r="AC13" i="12"/>
  <c r="D12" i="23"/>
  <c r="AC14" i="12"/>
  <c r="D13" i="23"/>
  <c r="AC16" i="12"/>
  <c r="D15" i="23"/>
  <c r="AC17" i="12"/>
  <c r="D16" i="23"/>
  <c r="AC12" i="12"/>
  <c r="D11" i="23"/>
  <c r="AC11" i="12"/>
  <c r="D10" i="23"/>
  <c r="AC10" i="12"/>
  <c r="D9" i="23"/>
  <c r="AC9" i="12"/>
  <c r="D8" i="23"/>
  <c r="AC8" i="12"/>
  <c r="D7" i="23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J10"/>
  <c r="J11"/>
  <c r="J12"/>
  <c r="J13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B8"/>
  <c r="B9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B21"/>
  <c r="H21" s="1"/>
  <c r="M21" s="1"/>
  <c r="T21" s="1"/>
  <c r="Y21" s="1"/>
  <c r="B22"/>
  <c r="H22" s="1"/>
  <c r="M22" s="1"/>
  <c r="T22" s="1"/>
  <c r="Y22" s="1"/>
  <c r="B23"/>
  <c r="B24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B33"/>
  <c r="B34"/>
  <c r="B4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A11" i="15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K25" i="18"/>
  <c r="J26" s="1"/>
  <c r="K26"/>
  <c r="J27" s="1"/>
  <c r="K27"/>
  <c r="J28" s="1"/>
  <c r="K28"/>
  <c r="J29" s="1"/>
  <c r="K29"/>
  <c r="J30" s="1"/>
  <c r="K30"/>
  <c r="J31" s="1"/>
  <c r="K31"/>
  <c r="J32" s="1"/>
  <c r="K32"/>
  <c r="J33" s="1"/>
  <c r="K33"/>
  <c r="J34" s="1"/>
  <c r="K34"/>
  <c r="J35" s="1"/>
  <c r="K35"/>
  <c r="D35" i="23"/>
  <c r="D3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K36"/>
  <c r="O35"/>
  <c r="N35"/>
  <c r="M35"/>
  <c r="L35"/>
  <c r="K35"/>
  <c r="J35"/>
  <c r="P35" s="1"/>
  <c r="H35"/>
  <c r="G35"/>
  <c r="F35"/>
  <c r="C35"/>
  <c r="D35" s="1"/>
  <c r="O34"/>
  <c r="N34"/>
  <c r="M34"/>
  <c r="L34"/>
  <c r="K34"/>
  <c r="J34"/>
  <c r="P34" s="1"/>
  <c r="H34"/>
  <c r="G34"/>
  <c r="F34"/>
  <c r="C34"/>
  <c r="D34" s="1"/>
  <c r="O33"/>
  <c r="N33"/>
  <c r="M33"/>
  <c r="L33"/>
  <c r="K33"/>
  <c r="J33"/>
  <c r="P33" s="1"/>
  <c r="H33"/>
  <c r="G33"/>
  <c r="F33"/>
  <c r="C33"/>
  <c r="D33" s="1"/>
  <c r="O32"/>
  <c r="N32"/>
  <c r="M32"/>
  <c r="L32"/>
  <c r="K32"/>
  <c r="J32"/>
  <c r="P32" s="1"/>
  <c r="H32"/>
  <c r="G32"/>
  <c r="F32"/>
  <c r="C32"/>
  <c r="D32" s="1"/>
  <c r="A32"/>
  <c r="O31"/>
  <c r="N31"/>
  <c r="M31"/>
  <c r="L31"/>
  <c r="K31"/>
  <c r="J31"/>
  <c r="P31" s="1"/>
  <c r="H31"/>
  <c r="G31"/>
  <c r="F31"/>
  <c r="C31"/>
  <c r="D31" s="1"/>
  <c r="A31"/>
  <c r="O30"/>
  <c r="N30"/>
  <c r="M30"/>
  <c r="L30"/>
  <c r="K30"/>
  <c r="J30"/>
  <c r="P30" s="1"/>
  <c r="H30"/>
  <c r="G30"/>
  <c r="F30"/>
  <c r="C30"/>
  <c r="D30" s="1"/>
  <c r="A30"/>
  <c r="O29"/>
  <c r="N29"/>
  <c r="M29"/>
  <c r="L29"/>
  <c r="K29"/>
  <c r="J29"/>
  <c r="P29" s="1"/>
  <c r="H29"/>
  <c r="G29"/>
  <c r="F29"/>
  <c r="C29"/>
  <c r="D29" s="1"/>
  <c r="A29"/>
  <c r="O28"/>
  <c r="N28"/>
  <c r="M28"/>
  <c r="L28"/>
  <c r="K28"/>
  <c r="J28"/>
  <c r="P28" s="1"/>
  <c r="H28"/>
  <c r="G28"/>
  <c r="F28"/>
  <c r="C28"/>
  <c r="D28" s="1"/>
  <c r="A28"/>
  <c r="O27"/>
  <c r="N27"/>
  <c r="M27"/>
  <c r="L27"/>
  <c r="K27"/>
  <c r="J27"/>
  <c r="P27" s="1"/>
  <c r="H27"/>
  <c r="G27"/>
  <c r="F27"/>
  <c r="C27"/>
  <c r="D27" s="1"/>
  <c r="A27"/>
  <c r="O26"/>
  <c r="N26"/>
  <c r="M26"/>
  <c r="L26"/>
  <c r="K26"/>
  <c r="J26"/>
  <c r="P26" s="1"/>
  <c r="H26"/>
  <c r="G26"/>
  <c r="F26"/>
  <c r="C26"/>
  <c r="D26" s="1"/>
  <c r="A26"/>
  <c r="O25"/>
  <c r="N25"/>
  <c r="M25"/>
  <c r="L25"/>
  <c r="K25"/>
  <c r="J25"/>
  <c r="P25" s="1"/>
  <c r="H25"/>
  <c r="G25"/>
  <c r="F25"/>
  <c r="C25"/>
  <c r="D25" s="1"/>
  <c r="A25"/>
  <c r="O24"/>
  <c r="N24"/>
  <c r="M24"/>
  <c r="L24"/>
  <c r="K24"/>
  <c r="J24"/>
  <c r="P24" s="1"/>
  <c r="H24"/>
  <c r="G24"/>
  <c r="F24"/>
  <c r="C24"/>
  <c r="D24" s="1"/>
  <c r="A24"/>
  <c r="O23"/>
  <c r="N23"/>
  <c r="M23"/>
  <c r="L23"/>
  <c r="K23"/>
  <c r="J23"/>
  <c r="P23" s="1"/>
  <c r="H23"/>
  <c r="G23"/>
  <c r="F23"/>
  <c r="C23"/>
  <c r="D23" s="1"/>
  <c r="A23"/>
  <c r="O22"/>
  <c r="N22"/>
  <c r="M22"/>
  <c r="L22"/>
  <c r="K22"/>
  <c r="J22"/>
  <c r="P22" s="1"/>
  <c r="H22"/>
  <c r="G22"/>
  <c r="F22"/>
  <c r="C22"/>
  <c r="D22" s="1"/>
  <c r="A22"/>
  <c r="O21"/>
  <c r="N21"/>
  <c r="M21"/>
  <c r="L21"/>
  <c r="K21"/>
  <c r="J21"/>
  <c r="P21" s="1"/>
  <c r="H21"/>
  <c r="G21"/>
  <c r="F21"/>
  <c r="C21"/>
  <c r="D21" s="1"/>
  <c r="A21"/>
  <c r="O20"/>
  <c r="N20"/>
  <c r="M20"/>
  <c r="L20"/>
  <c r="K20"/>
  <c r="J20"/>
  <c r="P20" s="1"/>
  <c r="H20"/>
  <c r="G20"/>
  <c r="F20"/>
  <c r="C20"/>
  <c r="D20" s="1"/>
  <c r="A20"/>
  <c r="O19"/>
  <c r="N19"/>
  <c r="M19"/>
  <c r="L19"/>
  <c r="K19"/>
  <c r="J19"/>
  <c r="P19" s="1"/>
  <c r="H19"/>
  <c r="G19"/>
  <c r="F19"/>
  <c r="C19"/>
  <c r="D19" s="1"/>
  <c r="A19"/>
  <c r="O18"/>
  <c r="N18"/>
  <c r="M18"/>
  <c r="L18"/>
  <c r="J18"/>
  <c r="P18" s="1"/>
  <c r="H18"/>
  <c r="G18"/>
  <c r="F18"/>
  <c r="C18"/>
  <c r="D18" s="1"/>
  <c r="A18"/>
  <c r="O17"/>
  <c r="N17"/>
  <c r="M17"/>
  <c r="L17"/>
  <c r="K17"/>
  <c r="J17"/>
  <c r="P17" s="1"/>
  <c r="H17"/>
  <c r="G17"/>
  <c r="F17"/>
  <c r="C17"/>
  <c r="D17" s="1"/>
  <c r="A17"/>
  <c r="O16"/>
  <c r="N16"/>
  <c r="M16"/>
  <c r="L16"/>
  <c r="K16"/>
  <c r="J16"/>
  <c r="P16" s="1"/>
  <c r="H16"/>
  <c r="G16"/>
  <c r="F16"/>
  <c r="C16"/>
  <c r="D16" s="1"/>
  <c r="A16"/>
  <c r="O15"/>
  <c r="N15"/>
  <c r="M15"/>
  <c r="L15"/>
  <c r="K15"/>
  <c r="J15"/>
  <c r="P15" s="1"/>
  <c r="H15"/>
  <c r="G15"/>
  <c r="F15"/>
  <c r="C15"/>
  <c r="D15" s="1"/>
  <c r="A15"/>
  <c r="O14"/>
  <c r="N14"/>
  <c r="M14"/>
  <c r="L14"/>
  <c r="K14"/>
  <c r="J14"/>
  <c r="P14" s="1"/>
  <c r="H14"/>
  <c r="G14"/>
  <c r="I14" s="1"/>
  <c r="Q14" s="1"/>
  <c r="F14"/>
  <c r="C14"/>
  <c r="D14" s="1"/>
  <c r="A14"/>
  <c r="O13"/>
  <c r="N13"/>
  <c r="M13"/>
  <c r="L13"/>
  <c r="K13"/>
  <c r="J13"/>
  <c r="P13" s="1"/>
  <c r="H13"/>
  <c r="G13"/>
  <c r="F13"/>
  <c r="C13"/>
  <c r="D13" s="1"/>
  <c r="A13"/>
  <c r="O12"/>
  <c r="N12"/>
  <c r="M12"/>
  <c r="L12"/>
  <c r="K12"/>
  <c r="J12"/>
  <c r="P12" s="1"/>
  <c r="H12"/>
  <c r="G12"/>
  <c r="F12"/>
  <c r="C12"/>
  <c r="D12" s="1"/>
  <c r="A12"/>
  <c r="O11"/>
  <c r="N11"/>
  <c r="M11"/>
  <c r="L11"/>
  <c r="K11"/>
  <c r="J11"/>
  <c r="P11" s="1"/>
  <c r="H11"/>
  <c r="G11"/>
  <c r="F11"/>
  <c r="C11"/>
  <c r="D11" s="1"/>
  <c r="A11"/>
  <c r="O10"/>
  <c r="N10"/>
  <c r="M10"/>
  <c r="L10"/>
  <c r="K10"/>
  <c r="J10"/>
  <c r="P10" s="1"/>
  <c r="H10"/>
  <c r="G10"/>
  <c r="F10"/>
  <c r="C10"/>
  <c r="D10" s="1"/>
  <c r="A10"/>
  <c r="O9"/>
  <c r="N9"/>
  <c r="M9"/>
  <c r="L9"/>
  <c r="K9"/>
  <c r="J9"/>
  <c r="P9" s="1"/>
  <c r="H9"/>
  <c r="G9"/>
  <c r="F9"/>
  <c r="C9"/>
  <c r="D9" s="1"/>
  <c r="A9"/>
  <c r="O8"/>
  <c r="N8"/>
  <c r="M8"/>
  <c r="L8"/>
  <c r="K8"/>
  <c r="J8"/>
  <c r="P8" s="1"/>
  <c r="H8"/>
  <c r="G8"/>
  <c r="F8"/>
  <c r="C8"/>
  <c r="D8" s="1"/>
  <c r="A8"/>
  <c r="O7"/>
  <c r="N7"/>
  <c r="M7"/>
  <c r="L7"/>
  <c r="K7"/>
  <c r="J7"/>
  <c r="P7" s="1"/>
  <c r="H7"/>
  <c r="G7"/>
  <c r="F7"/>
  <c r="C7"/>
  <c r="D7" s="1"/>
  <c r="A7"/>
  <c r="O6"/>
  <c r="N6"/>
  <c r="M6"/>
  <c r="L6"/>
  <c r="K6"/>
  <c r="J6"/>
  <c r="P6" s="1"/>
  <c r="H6"/>
  <c r="G6"/>
  <c r="F6"/>
  <c r="C6"/>
  <c r="D6" s="1"/>
  <c r="A6"/>
  <c r="X5"/>
  <c r="X6" s="1"/>
  <c r="X7" s="1"/>
  <c r="O5"/>
  <c r="N5"/>
  <c r="M5"/>
  <c r="L5"/>
  <c r="K5"/>
  <c r="T5" s="1"/>
  <c r="J5"/>
  <c r="P5" s="1"/>
  <c r="H5"/>
  <c r="G5"/>
  <c r="I5" s="1"/>
  <c r="Q5" s="1"/>
  <c r="F5"/>
  <c r="C5"/>
  <c r="D5" s="1"/>
  <c r="A5"/>
  <c r="C32" i="9"/>
  <c r="B32"/>
  <c r="A32"/>
  <c r="C31"/>
  <c r="B31"/>
  <c r="A31"/>
  <c r="C30"/>
  <c r="B30"/>
  <c r="A30"/>
  <c r="C29"/>
  <c r="B29"/>
  <c r="A29"/>
  <c r="C28"/>
  <c r="B28"/>
  <c r="A28"/>
  <c r="C27"/>
  <c r="B27"/>
  <c r="A27"/>
  <c r="C26"/>
  <c r="B26"/>
  <c r="A26"/>
  <c r="C25"/>
  <c r="B25"/>
  <c r="A25"/>
  <c r="C24"/>
  <c r="B24"/>
  <c r="A24"/>
  <c r="C23"/>
  <c r="B23"/>
  <c r="A23"/>
  <c r="C22"/>
  <c r="B22"/>
  <c r="A22"/>
  <c r="C21"/>
  <c r="B21"/>
  <c r="A21"/>
  <c r="C20"/>
  <c r="B20"/>
  <c r="A20"/>
  <c r="C19"/>
  <c r="B19"/>
  <c r="A19"/>
  <c r="C18"/>
  <c r="B18"/>
  <c r="A18"/>
  <c r="C17"/>
  <c r="B17"/>
  <c r="A17"/>
  <c r="C16"/>
  <c r="B16"/>
  <c r="A16"/>
  <c r="C15"/>
  <c r="B15"/>
  <c r="A15"/>
  <c r="C14"/>
  <c r="B14"/>
  <c r="A14"/>
  <c r="C13"/>
  <c r="B13"/>
  <c r="A13"/>
  <c r="C12"/>
  <c r="B12"/>
  <c r="A12"/>
  <c r="C11"/>
  <c r="B11"/>
  <c r="A11"/>
  <c r="C10"/>
  <c r="B10"/>
  <c r="A10"/>
  <c r="C9"/>
  <c r="B9"/>
  <c r="A9"/>
  <c r="C8"/>
  <c r="B8"/>
  <c r="A8"/>
  <c r="C7"/>
  <c r="B7"/>
  <c r="A7"/>
  <c r="C6"/>
  <c r="B6"/>
  <c r="A6"/>
  <c r="C5"/>
  <c r="B5"/>
  <c r="A5"/>
  <c r="C4"/>
  <c r="B4"/>
  <c r="A4"/>
  <c r="C3"/>
  <c r="B3"/>
  <c r="A3"/>
  <c r="C2"/>
  <c r="B2"/>
  <c r="A2"/>
  <c r="C32" i="8"/>
  <c r="B32"/>
  <c r="A32"/>
  <c r="C31"/>
  <c r="B31"/>
  <c r="A31"/>
  <c r="C30"/>
  <c r="B30"/>
  <c r="A30"/>
  <c r="C29"/>
  <c r="B29"/>
  <c r="A29"/>
  <c r="C28"/>
  <c r="B28"/>
  <c r="A28"/>
  <c r="C27"/>
  <c r="B27"/>
  <c r="A27"/>
  <c r="C26"/>
  <c r="B26"/>
  <c r="A26"/>
  <c r="C25"/>
  <c r="B25"/>
  <c r="A25"/>
  <c r="C24"/>
  <c r="B24"/>
  <c r="A24"/>
  <c r="C23"/>
  <c r="B23"/>
  <c r="A23"/>
  <c r="C22"/>
  <c r="B22"/>
  <c r="A22"/>
  <c r="C21"/>
  <c r="B21"/>
  <c r="A21"/>
  <c r="C20"/>
  <c r="B20"/>
  <c r="A20"/>
  <c r="C19"/>
  <c r="B19"/>
  <c r="A19"/>
  <c r="C18"/>
  <c r="B18"/>
  <c r="A18"/>
  <c r="C17"/>
  <c r="B17"/>
  <c r="A17"/>
  <c r="C16"/>
  <c r="B16"/>
  <c r="A16"/>
  <c r="C15"/>
  <c r="B15"/>
  <c r="A15"/>
  <c r="C14"/>
  <c r="B14"/>
  <c r="A14"/>
  <c r="C13"/>
  <c r="B13"/>
  <c r="A13"/>
  <c r="C12"/>
  <c r="B12"/>
  <c r="A12"/>
  <c r="C11"/>
  <c r="B11"/>
  <c r="A11"/>
  <c r="C10"/>
  <c r="B10"/>
  <c r="A10"/>
  <c r="C9"/>
  <c r="B9"/>
  <c r="A9"/>
  <c r="C8"/>
  <c r="B8"/>
  <c r="A8"/>
  <c r="C7"/>
  <c r="B7"/>
  <c r="A7"/>
  <c r="C6"/>
  <c r="B6"/>
  <c r="A6"/>
  <c r="C5"/>
  <c r="B5"/>
  <c r="A5"/>
  <c r="C4"/>
  <c r="B4"/>
  <c r="A4"/>
  <c r="C3"/>
  <c r="B3"/>
  <c r="A3"/>
  <c r="C2"/>
  <c r="B2"/>
  <c r="A2"/>
  <c r="F45" i="15"/>
  <c r="G45" s="1"/>
  <c r="F42"/>
  <c r="E42"/>
  <c r="L36" i="11"/>
  <c r="L34"/>
  <c r="J36" i="15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I10" i="15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AB35" i="18"/>
  <c r="V35"/>
  <c r="X35" s="1"/>
  <c r="J36" i="23" s="1"/>
  <c r="P35" i="18"/>
  <c r="D35"/>
  <c r="B35"/>
  <c r="H35" s="1"/>
  <c r="M35" s="1"/>
  <c r="T35" s="1"/>
  <c r="Y35" s="1"/>
  <c r="A35"/>
  <c r="AB34"/>
  <c r="AA35" s="1"/>
  <c r="V34"/>
  <c r="X34" s="1"/>
  <c r="J35" i="23" s="1"/>
  <c r="P34" i="18"/>
  <c r="O35" s="1"/>
  <c r="D34"/>
  <c r="F34" s="1"/>
  <c r="H34"/>
  <c r="M34" s="1"/>
  <c r="T34" s="1"/>
  <c r="Y34" s="1"/>
  <c r="AB33"/>
  <c r="AA34" s="1"/>
  <c r="V33"/>
  <c r="X33" s="1"/>
  <c r="J34" i="23" s="1"/>
  <c r="P33" i="18"/>
  <c r="O34" s="1"/>
  <c r="D33"/>
  <c r="F33" s="1"/>
  <c r="H33"/>
  <c r="M33" s="1"/>
  <c r="T33" s="1"/>
  <c r="Y33" s="1"/>
  <c r="AB32"/>
  <c r="AA33" s="1"/>
  <c r="V32"/>
  <c r="X32" s="1"/>
  <c r="J33" i="23" s="1"/>
  <c r="P32" i="18"/>
  <c r="D32"/>
  <c r="F32" s="1"/>
  <c r="H32"/>
  <c r="M32" s="1"/>
  <c r="T32" s="1"/>
  <c r="Y32" s="1"/>
  <c r="AB31"/>
  <c r="V31"/>
  <c r="X31" s="1"/>
  <c r="J32" i="23" s="1"/>
  <c r="P31" i="18"/>
  <c r="O32" s="1"/>
  <c r="D31"/>
  <c r="F31" s="1"/>
  <c r="I32" i="23" s="1"/>
  <c r="AB30" i="18"/>
  <c r="AA31" s="1"/>
  <c r="V30"/>
  <c r="X30" s="1"/>
  <c r="J31" i="23" s="1"/>
  <c r="P30" i="18"/>
  <c r="O31" s="1"/>
  <c r="D30"/>
  <c r="F30" s="1"/>
  <c r="AB29"/>
  <c r="V29"/>
  <c r="X29" s="1"/>
  <c r="J30" i="23" s="1"/>
  <c r="P29" i="18"/>
  <c r="O30" s="1"/>
  <c r="D29"/>
  <c r="F29" s="1"/>
  <c r="I30" i="23" s="1"/>
  <c r="AB28" i="18"/>
  <c r="AA29" s="1"/>
  <c r="V28"/>
  <c r="X28" s="1"/>
  <c r="J29" i="23" s="1"/>
  <c r="P28" i="18"/>
  <c r="O29" s="1"/>
  <c r="D28"/>
  <c r="F28" s="1"/>
  <c r="H28"/>
  <c r="M28" s="1"/>
  <c r="T28" s="1"/>
  <c r="Y28" s="1"/>
  <c r="AB27"/>
  <c r="V27"/>
  <c r="X27" s="1"/>
  <c r="J28" i="23" s="1"/>
  <c r="P27" i="18"/>
  <c r="O28" s="1"/>
  <c r="D27"/>
  <c r="F27" s="1"/>
  <c r="I28" i="23" s="1"/>
  <c r="AB26" i="18"/>
  <c r="AA27" s="1"/>
  <c r="V26"/>
  <c r="X26" s="1"/>
  <c r="J27" i="23" s="1"/>
  <c r="P26" i="18"/>
  <c r="O27" s="1"/>
  <c r="D26"/>
  <c r="F26" s="1"/>
  <c r="AB25"/>
  <c r="AA26" s="1"/>
  <c r="V25"/>
  <c r="X25" s="1"/>
  <c r="J26" i="23" s="1"/>
  <c r="P25" i="18"/>
  <c r="O26" s="1"/>
  <c r="D25"/>
  <c r="F25" s="1"/>
  <c r="AB24"/>
  <c r="AA25" s="1"/>
  <c r="Y24"/>
  <c r="V24"/>
  <c r="X24" s="1"/>
  <c r="J25" i="23" s="1"/>
  <c r="P24" i="18"/>
  <c r="O25" s="1"/>
  <c r="K24"/>
  <c r="J25" s="1"/>
  <c r="D24"/>
  <c r="F24" s="1"/>
  <c r="H24"/>
  <c r="M24" s="1"/>
  <c r="AB23"/>
  <c r="AA24" s="1"/>
  <c r="V23"/>
  <c r="X23" s="1"/>
  <c r="J24" i="23" s="1"/>
  <c r="P23" i="18"/>
  <c r="O24" s="1"/>
  <c r="K23"/>
  <c r="J24" s="1"/>
  <c r="D23"/>
  <c r="F23" s="1"/>
  <c r="H23"/>
  <c r="M23" s="1"/>
  <c r="T23" s="1"/>
  <c r="Y23" s="1"/>
  <c r="AB22"/>
  <c r="V22"/>
  <c r="X22" s="1"/>
  <c r="J23" i="23" s="1"/>
  <c r="P22" i="18"/>
  <c r="O23" s="1"/>
  <c r="K22"/>
  <c r="J23" s="1"/>
  <c r="D22"/>
  <c r="F22" s="1"/>
  <c r="I23" i="23" s="1"/>
  <c r="AB21" i="18"/>
  <c r="AA22" s="1"/>
  <c r="V21"/>
  <c r="X21" s="1"/>
  <c r="J22" i="23" s="1"/>
  <c r="P21" i="18"/>
  <c r="O22" s="1"/>
  <c r="K21"/>
  <c r="J22" s="1"/>
  <c r="D21"/>
  <c r="F21" s="1"/>
  <c r="AB20"/>
  <c r="AA21" s="1"/>
  <c r="V20"/>
  <c r="X20" s="1"/>
  <c r="J21" i="23" s="1"/>
  <c r="P20" i="18"/>
  <c r="O21" s="1"/>
  <c r="K20"/>
  <c r="J21" s="1"/>
  <c r="D20"/>
  <c r="F20" s="1"/>
  <c r="I21" i="23" s="1"/>
  <c r="H20" i="18"/>
  <c r="M20" s="1"/>
  <c r="T20" s="1"/>
  <c r="Y20" s="1"/>
  <c r="AB19"/>
  <c r="AA20" s="1"/>
  <c r="V19"/>
  <c r="X19" s="1"/>
  <c r="J20" i="23" s="1"/>
  <c r="P19" i="18"/>
  <c r="O20" s="1"/>
  <c r="K19"/>
  <c r="J20" s="1"/>
  <c r="D19"/>
  <c r="F19" s="1"/>
  <c r="AB18"/>
  <c r="V18"/>
  <c r="X18" s="1"/>
  <c r="J19" i="23" s="1"/>
  <c r="P18" i="18"/>
  <c r="O19" s="1"/>
  <c r="K18"/>
  <c r="J19" s="1"/>
  <c r="D18"/>
  <c r="F18" s="1"/>
  <c r="I19" i="23" s="1"/>
  <c r="AB17" i="18"/>
  <c r="AA18" s="1"/>
  <c r="V17"/>
  <c r="X17" s="1"/>
  <c r="J18" i="23" s="1"/>
  <c r="P17" i="18"/>
  <c r="O18" s="1"/>
  <c r="K17"/>
  <c r="J18" s="1"/>
  <c r="D17"/>
  <c r="F17" s="1"/>
  <c r="AB16"/>
  <c r="AA17" s="1"/>
  <c r="V16"/>
  <c r="X16" s="1"/>
  <c r="J17" i="23" s="1"/>
  <c r="P16" i="18"/>
  <c r="O17" s="1"/>
  <c r="K16"/>
  <c r="J17" s="1"/>
  <c r="D16"/>
  <c r="F16" s="1"/>
  <c r="I17" i="23" s="1"/>
  <c r="H16" i="18"/>
  <c r="M16" s="1"/>
  <c r="T16" s="1"/>
  <c r="Y16" s="1"/>
  <c r="AB15"/>
  <c r="AA16" s="1"/>
  <c r="V15"/>
  <c r="X15" s="1"/>
  <c r="J16" i="23" s="1"/>
  <c r="P15" i="18"/>
  <c r="O16" s="1"/>
  <c r="K15"/>
  <c r="J16" s="1"/>
  <c r="D15"/>
  <c r="F15" s="1"/>
  <c r="AB14"/>
  <c r="AA15" s="1"/>
  <c r="V14"/>
  <c r="X14" s="1"/>
  <c r="J15" i="23" s="1"/>
  <c r="P14" i="18"/>
  <c r="O15" s="1"/>
  <c r="K14"/>
  <c r="J15" s="1"/>
  <c r="D14"/>
  <c r="F14" s="1"/>
  <c r="I15" i="23" s="1"/>
  <c r="AB13" i="18"/>
  <c r="AA14" s="1"/>
  <c r="V13"/>
  <c r="X13" s="1"/>
  <c r="J14" i="23" s="1"/>
  <c r="P13" i="18"/>
  <c r="O14" s="1"/>
  <c r="Q14" s="1"/>
  <c r="R14" s="1"/>
  <c r="K13"/>
  <c r="J14" s="1"/>
  <c r="D13"/>
  <c r="F13" s="1"/>
  <c r="AB12"/>
  <c r="AA13" s="1"/>
  <c r="V12"/>
  <c r="X12" s="1"/>
  <c r="J13" i="23" s="1"/>
  <c r="P12" i="18"/>
  <c r="O13" s="1"/>
  <c r="K12"/>
  <c r="J13" s="1"/>
  <c r="D12"/>
  <c r="F12" s="1"/>
  <c r="H12"/>
  <c r="M12" s="1"/>
  <c r="T12" s="1"/>
  <c r="Y12" s="1"/>
  <c r="AB11"/>
  <c r="AA12" s="1"/>
  <c r="V11"/>
  <c r="X11" s="1"/>
  <c r="J12" i="23" s="1"/>
  <c r="P11" i="18"/>
  <c r="O12" s="1"/>
  <c r="K11"/>
  <c r="J12" s="1"/>
  <c r="D11"/>
  <c r="F11" s="1"/>
  <c r="AB10"/>
  <c r="AA11" s="1"/>
  <c r="V10"/>
  <c r="X10" s="1"/>
  <c r="J11" i="23" s="1"/>
  <c r="P10" i="18"/>
  <c r="O11" s="1"/>
  <c r="K10"/>
  <c r="J11" s="1"/>
  <c r="D10"/>
  <c r="F10" s="1"/>
  <c r="AB9"/>
  <c r="AA10" s="1"/>
  <c r="V9"/>
  <c r="X9" s="1"/>
  <c r="J10" i="23" s="1"/>
  <c r="P9" i="18"/>
  <c r="O10" s="1"/>
  <c r="K9"/>
  <c r="J10" s="1"/>
  <c r="D9"/>
  <c r="F9" s="1"/>
  <c r="I10" i="23" s="1"/>
  <c r="H9" i="18"/>
  <c r="M9" s="1"/>
  <c r="T9" s="1"/>
  <c r="Y9" s="1"/>
  <c r="AB8"/>
  <c r="AA9" s="1"/>
  <c r="V8"/>
  <c r="X8" s="1"/>
  <c r="J9" i="23" s="1"/>
  <c r="P8" i="18"/>
  <c r="O9" s="1"/>
  <c r="K8"/>
  <c r="J9" s="1"/>
  <c r="D8"/>
  <c r="F8" s="1"/>
  <c r="H8"/>
  <c r="M8" s="1"/>
  <c r="T8" s="1"/>
  <c r="Y8" s="1"/>
  <c r="AB7"/>
  <c r="V7"/>
  <c r="X7" s="1"/>
  <c r="J8" i="23" s="1"/>
  <c r="P7" i="18"/>
  <c r="O8" s="1"/>
  <c r="K7"/>
  <c r="J8" s="1"/>
  <c r="D7"/>
  <c r="F7" s="1"/>
  <c r="H7"/>
  <c r="M7" s="1"/>
  <c r="T7" s="1"/>
  <c r="Y7" s="1"/>
  <c r="AB6"/>
  <c r="AA7" s="1"/>
  <c r="V6"/>
  <c r="X6" s="1"/>
  <c r="J7" i="23" s="1"/>
  <c r="P6" i="18"/>
  <c r="O7" s="1"/>
  <c r="K6"/>
  <c r="J7" s="1"/>
  <c r="D6"/>
  <c r="F6" s="1"/>
  <c r="AB5"/>
  <c r="AA6" s="1"/>
  <c r="V5"/>
  <c r="X5" s="1"/>
  <c r="J6" i="23" s="1"/>
  <c r="P5" i="18"/>
  <c r="O6" s="1"/>
  <c r="K5"/>
  <c r="J6" s="1"/>
  <c r="D5"/>
  <c r="F5" s="1"/>
  <c r="I6" i="23" s="1"/>
  <c r="AB4" i="18"/>
  <c r="AC4" s="1"/>
  <c r="X4"/>
  <c r="J5" i="23" s="1"/>
  <c r="P4" i="18"/>
  <c r="O5" s="1"/>
  <c r="K4"/>
  <c r="J5" s="1"/>
  <c r="F4"/>
  <c r="H4"/>
  <c r="M4" s="1"/>
  <c r="T4" s="1"/>
  <c r="Y4" s="1"/>
  <c r="AB3"/>
  <c r="X3"/>
  <c r="P3"/>
  <c r="O4" s="1"/>
  <c r="K3"/>
  <c r="J4" s="1"/>
  <c r="AK37" i="13"/>
  <c r="AE37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Y29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I19" i="13"/>
  <c r="AE19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I13" i="13"/>
  <c r="AE12"/>
  <c r="H12" i="14" s="1"/>
  <c r="G12"/>
  <c r="AE11" i="13"/>
  <c r="H11" i="14" s="1"/>
  <c r="G11"/>
  <c r="AE10" i="13"/>
  <c r="H10" i="14" s="1"/>
  <c r="G10"/>
  <c r="AE9" i="13"/>
  <c r="H9" i="14" s="1"/>
  <c r="G9"/>
  <c r="AI9" i="13"/>
  <c r="AE8"/>
  <c r="H8" i="14" s="1"/>
  <c r="G8"/>
  <c r="AE7" i="13"/>
  <c r="H7" i="14" s="1"/>
  <c r="G7"/>
  <c r="AE6" i="13"/>
  <c r="H6" i="14" s="1"/>
  <c r="G6"/>
  <c r="AI4" i="13"/>
  <c r="F3"/>
  <c r="E6" s="1"/>
  <c r="Q37" i="14"/>
  <c r="Q36"/>
  <c r="S36" s="1"/>
  <c r="P36"/>
  <c r="Q35"/>
  <c r="P35"/>
  <c r="Q34"/>
  <c r="P34"/>
  <c r="T33"/>
  <c r="Q33"/>
  <c r="P33"/>
  <c r="Q32"/>
  <c r="P32"/>
  <c r="Q31"/>
  <c r="P31"/>
  <c r="Q30"/>
  <c r="P30"/>
  <c r="Q29"/>
  <c r="S29" s="1"/>
  <c r="P29"/>
  <c r="Q28"/>
  <c r="P28"/>
  <c r="Q27"/>
  <c r="S27" s="1"/>
  <c r="P27"/>
  <c r="Q26"/>
  <c r="P26"/>
  <c r="Q25"/>
  <c r="P25"/>
  <c r="Q24"/>
  <c r="S24" s="1"/>
  <c r="P24"/>
  <c r="Q23"/>
  <c r="P23"/>
  <c r="S23"/>
  <c r="Q22"/>
  <c r="S22" s="1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S11" s="1"/>
  <c r="P11"/>
  <c r="Q10"/>
  <c r="P10"/>
  <c r="Q9"/>
  <c r="P9"/>
  <c r="Q8"/>
  <c r="P8"/>
  <c r="Q7"/>
  <c r="Q39" s="1"/>
  <c r="P7"/>
  <c r="P39" s="1"/>
  <c r="Q6"/>
  <c r="P6"/>
  <c r="J49" i="3"/>
  <c r="J48"/>
  <c r="J47"/>
  <c r="J46"/>
  <c r="Q38"/>
  <c r="N38"/>
  <c r="AK37"/>
  <c r="AH37"/>
  <c r="AE37"/>
  <c r="AB37"/>
  <c r="Y37"/>
  <c r="V37"/>
  <c r="S37"/>
  <c r="O37"/>
  <c r="L37"/>
  <c r="I37"/>
  <c r="F37"/>
  <c r="C37"/>
  <c r="AK36"/>
  <c r="AH36"/>
  <c r="AE36"/>
  <c r="AB36"/>
  <c r="Y36"/>
  <c r="V36"/>
  <c r="AN36"/>
  <c r="S36"/>
  <c r="N32" i="25"/>
  <c r="O36" i="3"/>
  <c r="L36"/>
  <c r="L32" i="25"/>
  <c r="I36" i="3"/>
  <c r="M32" i="25"/>
  <c r="F36" i="3"/>
  <c r="C36"/>
  <c r="AK35"/>
  <c r="AH35"/>
  <c r="AE35"/>
  <c r="AB35"/>
  <c r="Y35"/>
  <c r="V35"/>
  <c r="AN35"/>
  <c r="S35"/>
  <c r="N31" i="25"/>
  <c r="O35" i="3"/>
  <c r="L35"/>
  <c r="L31" i="25"/>
  <c r="I35" i="3"/>
  <c r="M31" i="25"/>
  <c r="F35" i="3"/>
  <c r="C35"/>
  <c r="AK34"/>
  <c r="AH34"/>
  <c r="AE34"/>
  <c r="AB34"/>
  <c r="Y34"/>
  <c r="V34"/>
  <c r="AN34"/>
  <c r="S34"/>
  <c r="N30" i="25"/>
  <c r="O34" i="3"/>
  <c r="L34"/>
  <c r="L30" i="25"/>
  <c r="I34" i="3"/>
  <c r="M30" i="25"/>
  <c r="F34" i="3"/>
  <c r="C34"/>
  <c r="AK33"/>
  <c r="AH33"/>
  <c r="AE33"/>
  <c r="AB33"/>
  <c r="Y33"/>
  <c r="V33"/>
  <c r="AN33"/>
  <c r="S33"/>
  <c r="N29" i="25"/>
  <c r="O33" i="3"/>
  <c r="L33"/>
  <c r="L29" i="25"/>
  <c r="I33" i="3"/>
  <c r="M29" i="25"/>
  <c r="F33" i="3"/>
  <c r="C33"/>
  <c r="AK32"/>
  <c r="AH32"/>
  <c r="AE32"/>
  <c r="AB32"/>
  <c r="Y32"/>
  <c r="V32"/>
  <c r="AN32"/>
  <c r="S32"/>
  <c r="N28" i="25"/>
  <c r="O32" i="3"/>
  <c r="L32"/>
  <c r="L28" i="25"/>
  <c r="I32" i="3"/>
  <c r="M28" i="25"/>
  <c r="F32" i="3"/>
  <c r="C32"/>
  <c r="AK31"/>
  <c r="AH31"/>
  <c r="AE31"/>
  <c r="AB31"/>
  <c r="Y31"/>
  <c r="V31"/>
  <c r="AN31"/>
  <c r="S31"/>
  <c r="N27" i="25"/>
  <c r="O31" i="3"/>
  <c r="L31"/>
  <c r="L27" i="25"/>
  <c r="I31" i="3"/>
  <c r="M27" i="25"/>
  <c r="F31" i="3"/>
  <c r="C31"/>
  <c r="AK30"/>
  <c r="AH30"/>
  <c r="AE30"/>
  <c r="AB30"/>
  <c r="Y30"/>
  <c r="V30"/>
  <c r="AN30"/>
  <c r="S30"/>
  <c r="N26" i="25"/>
  <c r="O30" i="3"/>
  <c r="L30"/>
  <c r="L26" i="25"/>
  <c r="I30" i="3"/>
  <c r="M26" i="25"/>
  <c r="F30" i="3"/>
  <c r="C30"/>
  <c r="AK29"/>
  <c r="AH29"/>
  <c r="AE29"/>
  <c r="AB29"/>
  <c r="Y29"/>
  <c r="V29"/>
  <c r="AN29"/>
  <c r="S29"/>
  <c r="N25" i="25"/>
  <c r="O29" i="3"/>
  <c r="L29"/>
  <c r="L25" i="25"/>
  <c r="I29" i="3"/>
  <c r="M25" i="25"/>
  <c r="F29" i="3"/>
  <c r="C29"/>
  <c r="AK28"/>
  <c r="AH28"/>
  <c r="AE28"/>
  <c r="AB28"/>
  <c r="Y28"/>
  <c r="V28"/>
  <c r="AN28"/>
  <c r="S28"/>
  <c r="N24" i="25"/>
  <c r="O28" i="3"/>
  <c r="L28"/>
  <c r="L24" i="25"/>
  <c r="I28" i="3"/>
  <c r="M24" i="25"/>
  <c r="F28" i="3"/>
  <c r="C28"/>
  <c r="AK27"/>
  <c r="AH27"/>
  <c r="AE27"/>
  <c r="AB27"/>
  <c r="Y27"/>
  <c r="V27"/>
  <c r="AN27"/>
  <c r="S27"/>
  <c r="N23" i="25"/>
  <c r="O27" i="3"/>
  <c r="L27"/>
  <c r="L23" i="25"/>
  <c r="I27" i="3"/>
  <c r="M23" i="25"/>
  <c r="F27" i="3"/>
  <c r="C27"/>
  <c r="AK26"/>
  <c r="AH26"/>
  <c r="AE26"/>
  <c r="AB26"/>
  <c r="Y26"/>
  <c r="V26"/>
  <c r="AN26"/>
  <c r="S26"/>
  <c r="N22" i="25"/>
  <c r="O26" i="3"/>
  <c r="L26"/>
  <c r="L22" i="25"/>
  <c r="I26" i="3"/>
  <c r="M22" i="25"/>
  <c r="F26" i="3"/>
  <c r="C26"/>
  <c r="AK25"/>
  <c r="AH25"/>
  <c r="AE25"/>
  <c r="AB25"/>
  <c r="Y25"/>
  <c r="V25"/>
  <c r="AN25"/>
  <c r="S25"/>
  <c r="N21" i="25"/>
  <c r="O25" i="3"/>
  <c r="L25"/>
  <c r="L21" i="25"/>
  <c r="I25" i="3"/>
  <c r="M21" i="25"/>
  <c r="F25" i="3"/>
  <c r="C25"/>
  <c r="AK24"/>
  <c r="AH24"/>
  <c r="AE24"/>
  <c r="AB24"/>
  <c r="Y24"/>
  <c r="V24"/>
  <c r="AN24"/>
  <c r="N20" i="25"/>
  <c r="L20"/>
  <c r="M20"/>
  <c r="F24" i="3"/>
  <c r="C24"/>
  <c r="AK23"/>
  <c r="AH23"/>
  <c r="AE23"/>
  <c r="AB23"/>
  <c r="Y23"/>
  <c r="V23"/>
  <c r="AN23"/>
  <c r="N19" i="25"/>
  <c r="L19"/>
  <c r="M19"/>
  <c r="F23" i="3"/>
  <c r="C23"/>
  <c r="AK22"/>
  <c r="AH22"/>
  <c r="AE22"/>
  <c r="AB22"/>
  <c r="Y22"/>
  <c r="V22"/>
  <c r="AN22"/>
  <c r="N18" i="25"/>
  <c r="L18"/>
  <c r="M18"/>
  <c r="F22" i="3"/>
  <c r="C22"/>
  <c r="AK21"/>
  <c r="AH21"/>
  <c r="AE21"/>
  <c r="AB21"/>
  <c r="Y21"/>
  <c r="V21"/>
  <c r="AN21"/>
  <c r="N17" i="25"/>
  <c r="L17"/>
  <c r="M17"/>
  <c r="F21" i="3"/>
  <c r="C21"/>
  <c r="AK20"/>
  <c r="AH20"/>
  <c r="AE20"/>
  <c r="AB20"/>
  <c r="Y20"/>
  <c r="V20"/>
  <c r="AN20"/>
  <c r="N16" i="25"/>
  <c r="L16"/>
  <c r="M16"/>
  <c r="F20" i="3"/>
  <c r="C20"/>
  <c r="AK19"/>
  <c r="AH19"/>
  <c r="AE19"/>
  <c r="AB19"/>
  <c r="Y19"/>
  <c r="V19"/>
  <c r="AN19"/>
  <c r="N15" i="25"/>
  <c r="L15"/>
  <c r="M15"/>
  <c r="F19" i="3"/>
  <c r="C19"/>
  <c r="AK18"/>
  <c r="AH18"/>
  <c r="AE18"/>
  <c r="AB18"/>
  <c r="Y18"/>
  <c r="V18"/>
  <c r="AN18"/>
  <c r="N14" i="25"/>
  <c r="L14"/>
  <c r="M14"/>
  <c r="F18" i="3"/>
  <c r="C18"/>
  <c r="AK17"/>
  <c r="AH17"/>
  <c r="AE17"/>
  <c r="AB17"/>
  <c r="Y17"/>
  <c r="V17"/>
  <c r="AN17"/>
  <c r="G16" i="23" s="1"/>
  <c r="N13" i="25"/>
  <c r="L13"/>
  <c r="M13"/>
  <c r="F17" i="3"/>
  <c r="K16" i="11"/>
  <c r="C17" i="3"/>
  <c r="AK16"/>
  <c r="AH16"/>
  <c r="AE16"/>
  <c r="AB16"/>
  <c r="Y16"/>
  <c r="V16"/>
  <c r="AN16"/>
  <c r="G15" i="23" s="1"/>
  <c r="N12" i="25"/>
  <c r="L12"/>
  <c r="M12"/>
  <c r="F16" i="3"/>
  <c r="N16" i="13"/>
  <c r="C16" i="3"/>
  <c r="AK15"/>
  <c r="AH15"/>
  <c r="AE15"/>
  <c r="AB15"/>
  <c r="Y15"/>
  <c r="V15"/>
  <c r="AN15"/>
  <c r="G14" i="23" s="1"/>
  <c r="N11" i="25"/>
  <c r="L11"/>
  <c r="M11"/>
  <c r="F15" i="3"/>
  <c r="P11" i="25"/>
  <c r="C15" i="3"/>
  <c r="AK14"/>
  <c r="AH14"/>
  <c r="AE14"/>
  <c r="AB14"/>
  <c r="Y14"/>
  <c r="V14"/>
  <c r="AN14"/>
  <c r="G13" i="23" s="1"/>
  <c r="N10" i="25"/>
  <c r="L10"/>
  <c r="M10"/>
  <c r="F14" i="3"/>
  <c r="K13" i="11"/>
  <c r="C14" i="3"/>
  <c r="AK13"/>
  <c r="AH13"/>
  <c r="AE13"/>
  <c r="AB13"/>
  <c r="Y13"/>
  <c r="V13"/>
  <c r="AN13"/>
  <c r="G12" i="23" s="1"/>
  <c r="N9" i="25"/>
  <c r="L9"/>
  <c r="M9"/>
  <c r="F13" i="3"/>
  <c r="N13" i="13"/>
  <c r="C13" i="3"/>
  <c r="AK12"/>
  <c r="AH12"/>
  <c r="AE12"/>
  <c r="AB12"/>
  <c r="Y12"/>
  <c r="V12"/>
  <c r="AN12"/>
  <c r="G11" i="23" s="1"/>
  <c r="N8" i="25"/>
  <c r="L8"/>
  <c r="M8"/>
  <c r="F12" i="3"/>
  <c r="N12" i="13"/>
  <c r="C12" i="3"/>
  <c r="AK11"/>
  <c r="AH11"/>
  <c r="AE11"/>
  <c r="AB11"/>
  <c r="Y11"/>
  <c r="V11"/>
  <c r="AN11"/>
  <c r="G10" i="23" s="1"/>
  <c r="N7" i="25"/>
  <c r="L7"/>
  <c r="M7"/>
  <c r="F11" i="3"/>
  <c r="N11" i="13"/>
  <c r="C11" i="3"/>
  <c r="AK10"/>
  <c r="AH10"/>
  <c r="AE10"/>
  <c r="AB10"/>
  <c r="Y10"/>
  <c r="V10"/>
  <c r="N6" i="25"/>
  <c r="L6"/>
  <c r="M6"/>
  <c r="F10" i="3"/>
  <c r="N10" i="13"/>
  <c r="C10" i="3"/>
  <c r="AK9"/>
  <c r="AE9"/>
  <c r="AB9"/>
  <c r="Y9"/>
  <c r="V9"/>
  <c r="N5" i="25"/>
  <c r="L5"/>
  <c r="M5"/>
  <c r="F9" i="3"/>
  <c r="K8" i="11"/>
  <c r="C9" i="3"/>
  <c r="AK8"/>
  <c r="AE8"/>
  <c r="AB8"/>
  <c r="Y8"/>
  <c r="V8"/>
  <c r="N4" i="25"/>
  <c r="L4"/>
  <c r="M4"/>
  <c r="F8" i="3"/>
  <c r="N8" i="13"/>
  <c r="C8" i="3"/>
  <c r="AK7"/>
  <c r="AE7"/>
  <c r="AB7"/>
  <c r="Y7"/>
  <c r="V7"/>
  <c r="N3" i="25"/>
  <c r="L3"/>
  <c r="M3"/>
  <c r="F7" i="3"/>
  <c r="P3" i="25"/>
  <c r="C7" i="3"/>
  <c r="AK6"/>
  <c r="AH6"/>
  <c r="AE6"/>
  <c r="AB6"/>
  <c r="Y6"/>
  <c r="V6"/>
  <c r="N2" i="25"/>
  <c r="L2"/>
  <c r="M2"/>
  <c r="F6" i="3"/>
  <c r="P2" i="25"/>
  <c r="C6" i="3"/>
  <c r="AK5"/>
  <c r="AH5"/>
  <c r="AE5"/>
  <c r="AB5"/>
  <c r="Y5"/>
  <c r="V5"/>
  <c r="U5"/>
  <c r="F5"/>
  <c r="C5"/>
  <c r="H45" i="1"/>
  <c r="G45"/>
  <c r="F45"/>
  <c r="E45"/>
  <c r="C36" i="23"/>
  <c r="C37" i="14"/>
  <c r="C35" i="23"/>
  <c r="C34"/>
  <c r="C33"/>
  <c r="C34" i="14"/>
  <c r="C32" i="23"/>
  <c r="C33" i="14"/>
  <c r="D32" i="23"/>
  <c r="C31"/>
  <c r="D31"/>
  <c r="C30"/>
  <c r="C31" i="14"/>
  <c r="D30" i="23"/>
  <c r="C29"/>
  <c r="C30" i="14"/>
  <c r="C28" i="23"/>
  <c r="C29" i="14"/>
  <c r="D28" i="23"/>
  <c r="AV33" i="1"/>
  <c r="C27" i="23"/>
  <c r="D27"/>
  <c r="C26"/>
  <c r="C27" i="14"/>
  <c r="D26" i="23"/>
  <c r="C25"/>
  <c r="C26" i="14"/>
  <c r="D25" i="23"/>
  <c r="C24"/>
  <c r="C25" i="14"/>
  <c r="D24" i="23"/>
  <c r="C23"/>
  <c r="D23"/>
  <c r="C22"/>
  <c r="C23" i="14"/>
  <c r="C21" i="23"/>
  <c r="C22" i="14"/>
  <c r="C20" i="23"/>
  <c r="C21" i="14"/>
  <c r="D21"/>
  <c r="N21" s="1"/>
  <c r="R21" s="1"/>
  <c r="C19" i="23"/>
  <c r="C18"/>
  <c r="C19" i="14"/>
  <c r="C17" i="23"/>
  <c r="C18" i="14"/>
  <c r="D18"/>
  <c r="N18" s="1"/>
  <c r="C16" i="23"/>
  <c r="C17" i="14"/>
  <c r="D17"/>
  <c r="N17" s="1"/>
  <c r="C15" i="23"/>
  <c r="C16" i="14"/>
  <c r="C14" i="23"/>
  <c r="C15" i="14"/>
  <c r="C14"/>
  <c r="D14"/>
  <c r="N14" s="1"/>
  <c r="F14" i="11"/>
  <c r="D13" i="14"/>
  <c r="N13" s="1"/>
  <c r="F13" i="11"/>
  <c r="D12" i="14"/>
  <c r="N12" s="1"/>
  <c r="C10" i="23"/>
  <c r="F11" i="11"/>
  <c r="D10" i="14"/>
  <c r="N10" s="1"/>
  <c r="F10" i="11"/>
  <c r="D9" i="14"/>
  <c r="N9" s="1"/>
  <c r="F9" i="11"/>
  <c r="D8" i="14"/>
  <c r="N8" s="1"/>
  <c r="C6" i="23"/>
  <c r="F8" i="11"/>
  <c r="H5"/>
  <c r="C6" i="14"/>
  <c r="AC6" i="12"/>
  <c r="F6" i="11"/>
  <c r="G6"/>
  <c r="F5"/>
  <c r="S37" i="14" l="1"/>
  <c r="J39"/>
  <c r="S25" i="18"/>
  <c r="I26" i="23"/>
  <c r="S31" i="14"/>
  <c r="U5" i="10"/>
  <c r="S26" i="18"/>
  <c r="I27" i="23"/>
  <c r="S33" i="18"/>
  <c r="I34" i="23"/>
  <c r="I23" i="10"/>
  <c r="Q23" s="1"/>
  <c r="S28" i="18"/>
  <c r="I29" i="23"/>
  <c r="S30" i="18"/>
  <c r="I31" i="23"/>
  <c r="AC24" i="18"/>
  <c r="S32"/>
  <c r="I33" i="23"/>
  <c r="S34" i="18"/>
  <c r="I35" i="23"/>
  <c r="W24" i="25"/>
  <c r="G27" i="23"/>
  <c r="W25" i="25"/>
  <c r="G28" i="23"/>
  <c r="W26" i="25"/>
  <c r="G29" i="23"/>
  <c r="W27" i="25"/>
  <c r="G30" i="23"/>
  <c r="W28" i="25"/>
  <c r="G31" i="23"/>
  <c r="W29" i="25"/>
  <c r="G32" i="23"/>
  <c r="W30" i="25"/>
  <c r="G33" i="23"/>
  <c r="W31" i="25"/>
  <c r="G34" i="23"/>
  <c r="W32" i="25"/>
  <c r="G35" i="23"/>
  <c r="AI16" i="13"/>
  <c r="W23" i="25"/>
  <c r="G26" i="23"/>
  <c r="S24" i="18"/>
  <c r="I25" i="23"/>
  <c r="W22" i="25"/>
  <c r="G25" i="23"/>
  <c r="S23" i="18"/>
  <c r="I24" i="23"/>
  <c r="W21" i="25"/>
  <c r="G24" i="23"/>
  <c r="W20" i="25"/>
  <c r="G23" i="23"/>
  <c r="W19" i="25"/>
  <c r="G22" i="23"/>
  <c r="S21" i="18"/>
  <c r="I22" i="23"/>
  <c r="L39" i="14"/>
  <c r="L4" i="18"/>
  <c r="W18" i="25"/>
  <c r="G21" i="23"/>
  <c r="T45" i="1"/>
  <c r="U47" s="1"/>
  <c r="U48" s="1"/>
  <c r="I19" i="10"/>
  <c r="Q19" s="1"/>
  <c r="I26"/>
  <c r="Q26" s="1"/>
  <c r="AV34" i="1"/>
  <c r="AT33"/>
  <c r="S15" i="14"/>
  <c r="S19"/>
  <c r="S30"/>
  <c r="S35"/>
  <c r="S10"/>
  <c r="C12" i="23"/>
  <c r="W17" i="25"/>
  <c r="G20" i="23"/>
  <c r="K39" i="14"/>
  <c r="S19" i="18"/>
  <c r="I20" i="23"/>
  <c r="W16" i="25"/>
  <c r="G19" i="23"/>
  <c r="W15" i="25"/>
  <c r="G18" i="23"/>
  <c r="S17" i="18"/>
  <c r="I18" i="23"/>
  <c r="B39" i="14"/>
  <c r="R17"/>
  <c r="W14" i="25"/>
  <c r="G17" i="23"/>
  <c r="S15" i="18"/>
  <c r="I16" i="23"/>
  <c r="S13" i="18"/>
  <c r="I14" i="23"/>
  <c r="C13"/>
  <c r="S12" i="18"/>
  <c r="I13" i="23"/>
  <c r="S11" i="18"/>
  <c r="I12" i="23"/>
  <c r="E12" i="14"/>
  <c r="O12" s="1"/>
  <c r="C11" i="23"/>
  <c r="J30" i="13"/>
  <c r="D29" i="23"/>
  <c r="G35" i="11"/>
  <c r="D33" i="23"/>
  <c r="AC35" i="12"/>
  <c r="D34" i="23"/>
  <c r="S10" i="18"/>
  <c r="I11" i="23"/>
  <c r="C9"/>
  <c r="G32" i="14"/>
  <c r="H31" i="23"/>
  <c r="G36" i="14"/>
  <c r="H35" i="23"/>
  <c r="G31" i="14"/>
  <c r="H30" i="23"/>
  <c r="G35" i="14"/>
  <c r="H34" i="23"/>
  <c r="G30" i="14"/>
  <c r="H29" i="23"/>
  <c r="G34" i="14"/>
  <c r="H33" i="23"/>
  <c r="G37" i="14"/>
  <c r="H36" i="23"/>
  <c r="G29" i="14"/>
  <c r="H28" i="23"/>
  <c r="G33" i="14"/>
  <c r="H32" i="23"/>
  <c r="S8" i="18"/>
  <c r="I9" i="23"/>
  <c r="C8"/>
  <c r="S7" i="18"/>
  <c r="I8" i="23"/>
  <c r="E8" i="14"/>
  <c r="O8" s="1"/>
  <c r="C7" i="23"/>
  <c r="S6" i="18"/>
  <c r="I7" i="23"/>
  <c r="AC7" i="12"/>
  <c r="D6" i="23"/>
  <c r="K77" i="3"/>
  <c r="G36" i="11"/>
  <c r="E16" i="14"/>
  <c r="O16" s="1"/>
  <c r="K16" i="13"/>
  <c r="L16" s="1"/>
  <c r="H15" i="11"/>
  <c r="I15" s="1"/>
  <c r="K23" i="13"/>
  <c r="L23" s="1"/>
  <c r="H22" i="11"/>
  <c r="I22" s="1"/>
  <c r="D25" i="14"/>
  <c r="N25" s="1"/>
  <c r="R25" s="1"/>
  <c r="AC25" i="12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AC24" i="12"/>
  <c r="G25" i="11"/>
  <c r="J24" i="13"/>
  <c r="K26"/>
  <c r="H25" i="11"/>
  <c r="K18" i="13"/>
  <c r="L18" s="1"/>
  <c r="H17" i="11"/>
  <c r="I17" s="1"/>
  <c r="K22" i="13"/>
  <c r="L22" s="1"/>
  <c r="H21" i="11"/>
  <c r="I21" s="1"/>
  <c r="C24" i="14"/>
  <c r="F25" i="11"/>
  <c r="E25" i="14"/>
  <c r="O25" s="1"/>
  <c r="H24" i="11"/>
  <c r="I24" s="1"/>
  <c r="K25" i="13"/>
  <c r="AC27" i="12"/>
  <c r="J27" i="13"/>
  <c r="C28" i="14"/>
  <c r="F29" i="11"/>
  <c r="K30" i="13"/>
  <c r="H29" i="11"/>
  <c r="AC32" i="12"/>
  <c r="J32" i="13"/>
  <c r="K34"/>
  <c r="H33" i="11"/>
  <c r="K36" i="13"/>
  <c r="H35" i="11"/>
  <c r="AN6" i="3"/>
  <c r="AN7"/>
  <c r="G6" i="23" s="1"/>
  <c r="AN8" i="3"/>
  <c r="AN9"/>
  <c r="AN10"/>
  <c r="Q5" i="18"/>
  <c r="R5" s="1"/>
  <c r="Q9"/>
  <c r="R9" s="1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F30"/>
  <c r="F24"/>
  <c r="F19"/>
  <c r="G28"/>
  <c r="E20" i="14"/>
  <c r="O20" s="1"/>
  <c r="K20" i="13"/>
  <c r="L20" s="1"/>
  <c r="H19" i="11"/>
  <c r="I19" s="1"/>
  <c r="D34" i="14"/>
  <c r="N34" s="1"/>
  <c r="R34" s="1"/>
  <c r="AC34" i="12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AC28" i="12"/>
  <c r="G29" i="11"/>
  <c r="J28" i="13"/>
  <c r="D29" i="14"/>
  <c r="N29" s="1"/>
  <c r="R29" s="1"/>
  <c r="AC29" i="12"/>
  <c r="J29" i="13"/>
  <c r="K31"/>
  <c r="H30" i="11"/>
  <c r="D33" i="14"/>
  <c r="N33" s="1"/>
  <c r="R33" s="1"/>
  <c r="AC33" i="12"/>
  <c r="G34" i="11"/>
  <c r="J33" i="13"/>
  <c r="C36" i="14"/>
  <c r="W13" i="25"/>
  <c r="H16" i="11"/>
  <c r="I16" s="1"/>
  <c r="K17" i="13"/>
  <c r="L17" s="1"/>
  <c r="C20" i="14"/>
  <c r="F21" i="11"/>
  <c r="E21" i="14"/>
  <c r="O21" s="1"/>
  <c r="H20" i="11"/>
  <c r="I20" s="1"/>
  <c r="K21" i="13"/>
  <c r="L21" s="1"/>
  <c r="E24" i="14"/>
  <c r="O24" s="1"/>
  <c r="K24" i="13"/>
  <c r="H23" i="11"/>
  <c r="I23" s="1"/>
  <c r="AC26" i="12"/>
  <c r="J26" i="13"/>
  <c r="E28" i="14"/>
  <c r="O28" s="1"/>
  <c r="K28" i="13"/>
  <c r="H27" i="11"/>
  <c r="E29" i="14"/>
  <c r="O29" s="1"/>
  <c r="H28" i="11"/>
  <c r="K29" i="13"/>
  <c r="AC31" i="12"/>
  <c r="J31" i="13"/>
  <c r="C32" i="14"/>
  <c r="F33" i="11"/>
  <c r="E33" i="14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L35" i="11"/>
  <c r="I24" i="10"/>
  <c r="Q24" s="1"/>
  <c r="F34" i="11"/>
  <c r="F28"/>
  <c r="F23"/>
  <c r="F18"/>
  <c r="G33"/>
  <c r="G27"/>
  <c r="I35" i="10"/>
  <c r="Q35" s="1"/>
  <c r="D37" i="14"/>
  <c r="AC37" i="12"/>
  <c r="F32" i="11"/>
  <c r="F27"/>
  <c r="F22"/>
  <c r="G5"/>
  <c r="G32"/>
  <c r="G26"/>
  <c r="L24" i="18"/>
  <c r="Q27"/>
  <c r="R27" s="1"/>
  <c r="M18" i="14"/>
  <c r="G14" i="26" s="1"/>
  <c r="L17" i="11"/>
  <c r="M20" i="14"/>
  <c r="G16" i="26" s="1"/>
  <c r="L19" i="11"/>
  <c r="M22" i="14"/>
  <c r="G18" i="26" s="1"/>
  <c r="L21" i="11"/>
  <c r="J31" i="15"/>
  <c r="M33" i="14"/>
  <c r="G29" i="26" s="1"/>
  <c r="L32" i="11"/>
  <c r="I6" i="10"/>
  <c r="Q6" s="1"/>
  <c r="S6" s="1"/>
  <c r="Z6" s="1"/>
  <c r="U6"/>
  <c r="I12"/>
  <c r="Q12" s="1"/>
  <c r="I13"/>
  <c r="Q13" s="1"/>
  <c r="I17"/>
  <c r="Q17" s="1"/>
  <c r="I31"/>
  <c r="Q31" s="1"/>
  <c r="S6" i="14"/>
  <c r="M37"/>
  <c r="D36"/>
  <c r="N36" s="1"/>
  <c r="R36" s="1"/>
  <c r="AC36" i="12"/>
  <c r="J36" i="13"/>
  <c r="F36" i="11"/>
  <c r="F31"/>
  <c r="F26"/>
  <c r="F20"/>
  <c r="G30"/>
  <c r="AI30" i="13"/>
  <c r="AI26"/>
  <c r="J35"/>
  <c r="AI15"/>
  <c r="K56" i="3"/>
  <c r="M16" i="13" s="1"/>
  <c r="N17"/>
  <c r="P13" i="25"/>
  <c r="I17" i="14"/>
  <c r="L16" i="11"/>
  <c r="F17"/>
  <c r="K15"/>
  <c r="P12" i="25"/>
  <c r="I16" i="14"/>
  <c r="L15" i="11"/>
  <c r="G31"/>
  <c r="D30" i="14"/>
  <c r="N30" s="1"/>
  <c r="R30" s="1"/>
  <c r="AC30" i="12"/>
  <c r="F30" i="14"/>
  <c r="H14" i="11"/>
  <c r="I14" s="1"/>
  <c r="K15" i="13"/>
  <c r="L15" s="1"/>
  <c r="F16" i="11"/>
  <c r="L14"/>
  <c r="K14"/>
  <c r="N15" i="13"/>
  <c r="I15" i="14"/>
  <c r="H13" i="11"/>
  <c r="I13" s="1"/>
  <c r="K14" i="13"/>
  <c r="L14" s="1"/>
  <c r="F15" i="11"/>
  <c r="L13"/>
  <c r="L12"/>
  <c r="I14" i="14"/>
  <c r="P10" i="25"/>
  <c r="N14" i="13"/>
  <c r="K13"/>
  <c r="L13" s="1"/>
  <c r="H12" i="11"/>
  <c r="I12" s="1"/>
  <c r="C13" i="14"/>
  <c r="K52" i="3"/>
  <c r="M12" i="13" s="1"/>
  <c r="I13" i="14"/>
  <c r="P9" i="25"/>
  <c r="K12" i="11"/>
  <c r="H11"/>
  <c r="I11" s="1"/>
  <c r="K12" i="13"/>
  <c r="L12" s="1"/>
  <c r="C12" i="14"/>
  <c r="P8" i="25"/>
  <c r="K11" i="11"/>
  <c r="I12" i="14"/>
  <c r="L11" i="11"/>
  <c r="H10"/>
  <c r="I10" s="1"/>
  <c r="K11" i="13"/>
  <c r="L11" s="1"/>
  <c r="F12" i="11"/>
  <c r="C11" i="14"/>
  <c r="L10" i="11"/>
  <c r="B10"/>
  <c r="K10" i="13"/>
  <c r="L10" s="1"/>
  <c r="H9" i="11"/>
  <c r="C10" i="14"/>
  <c r="L9" i="11"/>
  <c r="H8"/>
  <c r="K9" i="13"/>
  <c r="L9" s="1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K8" i="13"/>
  <c r="C8" i="14"/>
  <c r="J8" i="13"/>
  <c r="G9" i="11"/>
  <c r="L7"/>
  <c r="I8" i="14"/>
  <c r="P4" i="25"/>
  <c r="K7" i="11"/>
  <c r="H6"/>
  <c r="I6" s="1"/>
  <c r="K7" i="13"/>
  <c r="C7" i="14"/>
  <c r="G8" i="11"/>
  <c r="J7" i="13"/>
  <c r="I8" i="10"/>
  <c r="Q8" s="1"/>
  <c r="S8" s="1"/>
  <c r="Z8" s="1"/>
  <c r="I9"/>
  <c r="Q9" s="1"/>
  <c r="AA5" i="18"/>
  <c r="I11" i="10"/>
  <c r="Q11" s="1"/>
  <c r="I27"/>
  <c r="Q27" s="1"/>
  <c r="I28"/>
  <c r="Q28" s="1"/>
  <c r="I7"/>
  <c r="Q7" s="1"/>
  <c r="I30"/>
  <c r="Q30" s="1"/>
  <c r="L5" i="11"/>
  <c r="L6"/>
  <c r="K5"/>
  <c r="N6" i="13"/>
  <c r="I6" i="14"/>
  <c r="K6" i="11"/>
  <c r="N7" i="13"/>
  <c r="I7" i="14"/>
  <c r="B6" i="11"/>
  <c r="K6" i="13"/>
  <c r="F7" i="11"/>
  <c r="J6" i="13"/>
  <c r="G7" i="11"/>
  <c r="H39" i="14"/>
  <c r="S18" i="18"/>
  <c r="S20"/>
  <c r="S31"/>
  <c r="S22"/>
  <c r="S29"/>
  <c r="S27"/>
  <c r="S5"/>
  <c r="S16"/>
  <c r="S14"/>
  <c r="S9"/>
  <c r="F35"/>
  <c r="I5" i="11"/>
  <c r="B12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J35" i="15"/>
  <c r="J32"/>
  <c r="E34" i="14"/>
  <c r="O34" s="1"/>
  <c r="E30"/>
  <c r="O30" s="1"/>
  <c r="E26"/>
  <c r="O26" s="1"/>
  <c r="E22"/>
  <c r="O22" s="1"/>
  <c r="E18"/>
  <c r="O18" s="1"/>
  <c r="E14"/>
  <c r="O14" s="1"/>
  <c r="E10"/>
  <c r="O10" s="1"/>
  <c r="E37"/>
  <c r="E31"/>
  <c r="O31" s="1"/>
  <c r="E27"/>
  <c r="O27" s="1"/>
  <c r="E23"/>
  <c r="O23" s="1"/>
  <c r="E19"/>
  <c r="O19" s="1"/>
  <c r="E15"/>
  <c r="O15" s="1"/>
  <c r="E11"/>
  <c r="O11" s="1"/>
  <c r="E7"/>
  <c r="O7" s="1"/>
  <c r="C5" i="23"/>
  <c r="E6" i="14"/>
  <c r="O6" s="1"/>
  <c r="E17"/>
  <c r="O17" s="1"/>
  <c r="E13"/>
  <c r="O13" s="1"/>
  <c r="E9"/>
  <c r="O9" s="1"/>
  <c r="D28"/>
  <c r="N28" s="1"/>
  <c r="R28" s="1"/>
  <c r="D24"/>
  <c r="N24" s="1"/>
  <c r="R24" s="1"/>
  <c r="D20"/>
  <c r="N20" s="1"/>
  <c r="R20" s="1"/>
  <c r="D16"/>
  <c r="N16" s="1"/>
  <c r="R16" s="1"/>
  <c r="F14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F13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W10" i="25"/>
  <c r="W9"/>
  <c r="W8"/>
  <c r="W12"/>
  <c r="W11"/>
  <c r="AN37" i="3"/>
  <c r="G36" i="23" s="1"/>
  <c r="K38" i="3"/>
  <c r="H38"/>
  <c r="E38"/>
  <c r="R38" s="1"/>
  <c r="AI18" i="13"/>
  <c r="AJ19" s="1"/>
  <c r="AI22"/>
  <c r="AI23"/>
  <c r="L14" i="18"/>
  <c r="P40" i="10"/>
  <c r="Q25" i="18"/>
  <c r="R25" s="1"/>
  <c r="I22" i="10"/>
  <c r="Q22" s="1"/>
  <c r="Q4" i="18"/>
  <c r="R4" s="1"/>
  <c r="Q18"/>
  <c r="R18" s="1"/>
  <c r="I33" i="10"/>
  <c r="Q33" s="1"/>
  <c r="O33" i="18"/>
  <c r="Q33" s="1"/>
  <c r="R33" s="1"/>
  <c r="AI14" i="13"/>
  <c r="AI20"/>
  <c r="AI28"/>
  <c r="AI32"/>
  <c r="AI33"/>
  <c r="AI36"/>
  <c r="L5" i="18"/>
  <c r="Q7"/>
  <c r="L9"/>
  <c r="AC13"/>
  <c r="Q16"/>
  <c r="L18"/>
  <c r="Q22"/>
  <c r="J34" i="15"/>
  <c r="J37"/>
  <c r="I29" i="10"/>
  <c r="Q29" s="1"/>
  <c r="I34"/>
  <c r="Q34" s="1"/>
  <c r="AA30" i="18"/>
  <c r="AC30" s="1"/>
  <c r="AI7" i="13"/>
  <c r="AI11"/>
  <c r="AI17"/>
  <c r="AI21"/>
  <c r="AI24"/>
  <c r="AI35"/>
  <c r="L7" i="18"/>
  <c r="Q11"/>
  <c r="L16"/>
  <c r="AC17"/>
  <c r="Q20"/>
  <c r="L22"/>
  <c r="Q29"/>
  <c r="R29" s="1"/>
  <c r="I20" i="10"/>
  <c r="Q20" s="1"/>
  <c r="I25"/>
  <c r="Q25" s="1"/>
  <c r="AA23" i="18"/>
  <c r="AC23" s="1"/>
  <c r="AA19"/>
  <c r="AC19" s="1"/>
  <c r="L27"/>
  <c r="AI8" i="13"/>
  <c r="AJ9" s="1"/>
  <c r="AI12"/>
  <c r="AJ13" s="1"/>
  <c r="AI25"/>
  <c r="AJ26" s="1"/>
  <c r="AI27"/>
  <c r="AI29"/>
  <c r="AI31"/>
  <c r="AI34"/>
  <c r="AC6" i="18"/>
  <c r="L11"/>
  <c r="AC15"/>
  <c r="L20"/>
  <c r="AC21"/>
  <c r="Q24"/>
  <c r="AC26"/>
  <c r="Q31"/>
  <c r="R31" s="1"/>
  <c r="AC34"/>
  <c r="J10" i="15"/>
  <c r="J29"/>
  <c r="I15" i="10"/>
  <c r="Q15" s="1"/>
  <c r="I18"/>
  <c r="Q18" s="1"/>
  <c r="I21"/>
  <c r="Q21" s="1"/>
  <c r="I32"/>
  <c r="Q32" s="1"/>
  <c r="AA32" i="18"/>
  <c r="AC32" s="1"/>
  <c r="AA28"/>
  <c r="AC28" s="1"/>
  <c r="AA8"/>
  <c r="AC8" s="1"/>
  <c r="L31"/>
  <c r="AC10"/>
  <c r="AI10" i="13"/>
  <c r="I5" i="23"/>
  <c r="S4" i="18"/>
  <c r="L25"/>
  <c r="L29"/>
  <c r="L33"/>
  <c r="E36" i="14"/>
  <c r="O36" s="1"/>
  <c r="K76" i="3"/>
  <c r="M36" i="13" s="1"/>
  <c r="J40" i="15"/>
  <c r="J39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S7"/>
  <c r="Z7" s="1"/>
  <c r="R7"/>
  <c r="X8"/>
  <c r="T7"/>
  <c r="U7"/>
  <c r="R6"/>
  <c r="J38" i="15"/>
  <c r="J30"/>
  <c r="J33"/>
  <c r="X36" i="18"/>
  <c r="AC7"/>
  <c r="L8"/>
  <c r="Q8"/>
  <c r="AC11"/>
  <c r="L12"/>
  <c r="Q12"/>
  <c r="L13"/>
  <c r="Q13"/>
  <c r="AC16"/>
  <c r="L17"/>
  <c r="Q17"/>
  <c r="AC20"/>
  <c r="L21"/>
  <c r="Q21"/>
  <c r="AC25"/>
  <c r="L26"/>
  <c r="Q26"/>
  <c r="AC29"/>
  <c r="L30"/>
  <c r="Q30"/>
  <c r="AC33"/>
  <c r="L34"/>
  <c r="Q34"/>
  <c r="R34" s="1"/>
  <c r="AC5"/>
  <c r="L6"/>
  <c r="Q6"/>
  <c r="AC9"/>
  <c r="L10"/>
  <c r="Q10"/>
  <c r="AC14"/>
  <c r="L15"/>
  <c r="Q15"/>
  <c r="AC18"/>
  <c r="L19"/>
  <c r="Q19"/>
  <c r="AC22"/>
  <c r="L23"/>
  <c r="Q23"/>
  <c r="AC27"/>
  <c r="L28"/>
  <c r="Q28"/>
  <c r="AC31"/>
  <c r="L32"/>
  <c r="Q32"/>
  <c r="R32" s="1"/>
  <c r="E7" i="13"/>
  <c r="AI6"/>
  <c r="W7" i="25"/>
  <c r="G39" i="14" l="1"/>
  <c r="L35" i="13"/>
  <c r="I33" i="11"/>
  <c r="V6" i="10"/>
  <c r="W6" s="1"/>
  <c r="AJ16" i="13"/>
  <c r="AJ17"/>
  <c r="I27" i="11"/>
  <c r="L34" i="13"/>
  <c r="AJ15"/>
  <c r="AV35" i="1"/>
  <c r="AT34"/>
  <c r="L7" i="13"/>
  <c r="G7" s="1"/>
  <c r="I34" i="11"/>
  <c r="I36"/>
  <c r="I30"/>
  <c r="I25"/>
  <c r="L26" i="13"/>
  <c r="I7" i="11"/>
  <c r="F9" i="14"/>
  <c r="L30" i="13"/>
  <c r="I26" i="11"/>
  <c r="I35"/>
  <c r="AJ11" i="13"/>
  <c r="F10" i="14"/>
  <c r="W6" i="25"/>
  <c r="G9" i="23"/>
  <c r="I8" i="11"/>
  <c r="W5" i="25"/>
  <c r="G8" i="23"/>
  <c r="F17" i="14"/>
  <c r="S35" i="18"/>
  <c r="I36" i="23"/>
  <c r="W4" i="25"/>
  <c r="G7" i="23"/>
  <c r="W3" i="25"/>
  <c r="W2"/>
  <c r="G5" i="23"/>
  <c r="F22" i="14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F6" i="14"/>
  <c r="L33" i="13"/>
  <c r="F36" i="14"/>
  <c r="L6" i="13"/>
  <c r="G6" s="1"/>
  <c r="L8"/>
  <c r="L25"/>
  <c r="AJ27"/>
  <c r="F26" i="14"/>
  <c r="I9" i="11"/>
  <c r="L28" i="13"/>
  <c r="AN38" i="3"/>
  <c r="C39" i="14"/>
  <c r="I39"/>
  <c r="F6" i="13"/>
  <c r="J37"/>
  <c r="L37" s="1"/>
  <c r="AJ22"/>
  <c r="AJ36"/>
  <c r="AJ32"/>
  <c r="AJ18"/>
  <c r="AJ23"/>
  <c r="F34" i="14"/>
  <c r="F24"/>
  <c r="F23"/>
  <c r="F15"/>
  <c r="F7"/>
  <c r="F33"/>
  <c r="F28"/>
  <c r="F16"/>
  <c r="F8"/>
  <c r="F21"/>
  <c r="F31"/>
  <c r="F27"/>
  <c r="F19"/>
  <c r="F11"/>
  <c r="F20"/>
  <c r="F12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L35"/>
  <c r="G31" i="26"/>
  <c r="M39" i="14"/>
  <c r="O35"/>
  <c r="O39" s="1"/>
  <c r="E39"/>
  <c r="D39"/>
  <c r="F35"/>
  <c r="T8" i="10"/>
  <c r="U8"/>
  <c r="X9"/>
  <c r="Z5"/>
  <c r="S37"/>
  <c r="S39" s="1"/>
  <c r="R8"/>
  <c r="Q35" i="18"/>
  <c r="R35" s="1"/>
  <c r="AC35"/>
  <c r="AJ6" i="13"/>
  <c r="AJ7"/>
  <c r="F7"/>
  <c r="E8"/>
  <c r="N39" i="14"/>
  <c r="R7"/>
  <c r="R39" s="1"/>
  <c r="AV36" i="1" l="1"/>
  <c r="AT35"/>
  <c r="F39" i="14"/>
  <c r="U9" i="10"/>
  <c r="X10"/>
  <c r="T9"/>
  <c r="S9"/>
  <c r="Z9" s="1"/>
  <c r="R9"/>
  <c r="V8"/>
  <c r="W8" s="1"/>
  <c r="F8" i="13"/>
  <c r="E9"/>
  <c r="G8"/>
  <c r="AJ37"/>
  <c r="AV37" i="1" l="1"/>
  <c r="AT36"/>
  <c r="V9" i="10"/>
  <c r="W9" s="1"/>
  <c r="X11"/>
  <c r="S10"/>
  <c r="Z10" s="1"/>
  <c r="U10"/>
  <c r="R10"/>
  <c r="T10"/>
  <c r="F9" i="13"/>
  <c r="E10"/>
  <c r="G9"/>
  <c r="AV38" i="1" l="1"/>
  <c r="AT37"/>
  <c r="X12" i="10"/>
  <c r="T11"/>
  <c r="R11"/>
  <c r="U11"/>
  <c r="S11"/>
  <c r="Z11" s="1"/>
  <c r="V10"/>
  <c r="W10" s="1"/>
  <c r="F10" i="13"/>
  <c r="E11"/>
  <c r="G10"/>
  <c r="AV39" i="1" l="1"/>
  <c r="AT38"/>
  <c r="V11" i="10"/>
  <c r="W11" s="1"/>
  <c r="T12"/>
  <c r="U12"/>
  <c r="X13"/>
  <c r="R12"/>
  <c r="S12"/>
  <c r="Z12" s="1"/>
  <c r="F11" i="13"/>
  <c r="E12"/>
  <c r="G11"/>
  <c r="AV40" i="1" l="1"/>
  <c r="AT39"/>
  <c r="U13" i="10"/>
  <c r="X14"/>
  <c r="T13"/>
  <c r="V13" s="1"/>
  <c r="W13" s="1"/>
  <c r="S13"/>
  <c r="Z13" s="1"/>
  <c r="R13"/>
  <c r="V12"/>
  <c r="W12" s="1"/>
  <c r="F12" i="13"/>
  <c r="E13"/>
  <c r="G12"/>
  <c r="AV41" i="1" l="1"/>
  <c r="AT41" s="1"/>
  <c r="AT40"/>
  <c r="X15" i="10"/>
  <c r="U14"/>
  <c r="T14"/>
  <c r="S14"/>
  <c r="Z14" s="1"/>
  <c r="R14"/>
  <c r="F13" i="13"/>
  <c r="E14"/>
  <c r="G13"/>
  <c r="AT45" i="1" l="1"/>
  <c r="X16" i="10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V20" s="1"/>
  <c r="W20" s="1"/>
  <c r="E20" i="13"/>
  <c r="F19"/>
  <c r="G19"/>
  <c r="X22" i="10" l="1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V24" s="1"/>
  <c r="W24" s="1"/>
  <c r="F23" i="13"/>
  <c r="E24"/>
  <c r="G23"/>
  <c r="X26" i="10" l="1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V28" s="1"/>
  <c r="W28" s="1"/>
  <c r="S28"/>
  <c r="Z28" s="1"/>
  <c r="V27"/>
  <c r="W27" s="1"/>
  <c r="F27" i="13"/>
  <c r="E28"/>
  <c r="G27"/>
  <c r="X30" i="10" l="1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2" s="1"/>
  <c r="W32" s="1"/>
  <c r="V31"/>
  <c r="W31" s="1"/>
  <c r="F31" i="13"/>
  <c r="E32"/>
  <c r="G31"/>
  <c r="T33" i="10" l="1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3"/>
  <c r="Q4"/>
  <c r="Q5"/>
  <c r="Q6"/>
  <c r="Q7"/>
  <c r="Q8"/>
  <c r="Q9"/>
  <c r="Q10"/>
  <c r="Q11"/>
  <c r="Q12"/>
  <c r="Q13"/>
  <c r="Q14"/>
  <c r="Q15"/>
  <c r="Q16"/>
  <c r="Q17"/>
  <c r="Q18"/>
  <c r="Q19"/>
  <c r="Q20"/>
  <c r="Q21"/>
  <c r="Q22"/>
  <c r="Q23"/>
  <c r="Q24"/>
  <c r="Q25"/>
  <c r="Q26"/>
  <c r="Q27"/>
  <c r="Q28"/>
  <c r="Q29"/>
  <c r="Q30"/>
  <c r="Q31"/>
  <c r="Q32"/>
  <c r="Q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32" i="26"/>
  <c r="G2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I12" i="24"/>
  <c r="E11" i="25" s="1"/>
  <c r="E4" i="24"/>
  <c r="E8"/>
  <c r="E9"/>
  <c r="E12"/>
  <c r="E16"/>
  <c r="E17"/>
  <c r="E20"/>
  <c r="E24"/>
  <c r="E25"/>
  <c r="E28"/>
  <c r="E32"/>
  <c r="E33"/>
  <c r="C33"/>
  <c r="K32" i="26" s="1"/>
  <c r="X32" i="25" s="1"/>
  <c r="C4" i="2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E6"/>
  <c r="E7"/>
  <c r="E11"/>
  <c r="E14"/>
  <c r="E15"/>
  <c r="E18"/>
  <c r="E19"/>
  <c r="E27"/>
  <c r="E29"/>
  <c r="E31"/>
  <c r="B6" i="23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9"/>
  <c r="B30"/>
  <c r="B31"/>
  <c r="B32"/>
  <c r="B33"/>
  <c r="B34"/>
  <c r="B35"/>
  <c r="B5"/>
  <c r="F30" i="25" l="1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E30" i="24"/>
  <c r="E26"/>
  <c r="E22"/>
  <c r="E10"/>
  <c r="E21"/>
  <c r="E13"/>
  <c r="E5"/>
  <c r="H9"/>
  <c r="K8" i="25" s="1"/>
  <c r="E23" i="24"/>
  <c r="F4" i="25" l="1"/>
  <c r="F9"/>
  <c r="F25"/>
  <c r="F22"/>
  <c r="F20"/>
  <c r="F29"/>
  <c r="F12"/>
  <c r="F21"/>
  <c r="I3" i="24"/>
  <c r="E2" i="25" s="1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E3" i="24"/>
  <c r="D5" i="23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I22" i="24"/>
  <c r="E21" i="25" s="1"/>
  <c r="I23" i="24"/>
  <c r="E22" i="25" s="1"/>
  <c r="I26" i="24"/>
  <c r="E25" i="25" s="1"/>
  <c r="I29" i="24"/>
  <c r="E28" i="25" s="1"/>
  <c r="I30" i="24"/>
  <c r="E29" i="25" s="1"/>
  <c r="I33" i="24"/>
  <c r="E32" i="25" s="1"/>
  <c r="I5" i="24"/>
  <c r="E4" i="25" s="1"/>
  <c r="I7" i="24"/>
  <c r="E6" i="25" s="1"/>
  <c r="I9" i="24"/>
  <c r="E8" i="25" s="1"/>
  <c r="I13" i="24"/>
  <c r="E12" i="25" s="1"/>
  <c r="I15" i="24"/>
  <c r="E14" i="25" s="1"/>
  <c r="F33" i="24"/>
  <c r="G32" i="25" l="1"/>
  <c r="E32" i="26"/>
  <c r="F32"/>
  <c r="F2" i="25"/>
  <c r="F13" i="24"/>
  <c r="F26"/>
  <c r="H27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F17" i="24"/>
  <c r="F21"/>
  <c r="F27"/>
  <c r="F5"/>
  <c r="F25"/>
  <c r="F11"/>
  <c r="F15"/>
  <c r="I18"/>
  <c r="E17" i="25" s="1"/>
  <c r="F6" i="24"/>
  <c r="F8"/>
  <c r="F19"/>
  <c r="F28"/>
  <c r="F32"/>
  <c r="H26"/>
  <c r="K25" i="25" s="1"/>
  <c r="F18" i="24"/>
  <c r="I8"/>
  <c r="E7" i="25" s="1"/>
  <c r="I4" i="24"/>
  <c r="E3" i="25" s="1"/>
  <c r="I25" i="24"/>
  <c r="E24" i="25" s="1"/>
  <c r="I21" i="24"/>
  <c r="E20" i="25" s="1"/>
  <c r="I17" i="24"/>
  <c r="E16" i="25" s="1"/>
  <c r="F12" i="24"/>
  <c r="F14"/>
  <c r="F16"/>
  <c r="F20"/>
  <c r="F22"/>
  <c r="F29"/>
  <c r="F30"/>
  <c r="F31"/>
  <c r="H25"/>
  <c r="K24" i="25" s="1"/>
  <c r="I11" i="24"/>
  <c r="E10" i="25" s="1"/>
  <c r="I28" i="24"/>
  <c r="E27" i="25" s="1"/>
  <c r="I24" i="24"/>
  <c r="E23" i="25" s="1"/>
  <c r="I20" i="24"/>
  <c r="E19" i="25" s="1"/>
  <c r="I16" i="24"/>
  <c r="E15" i="25" s="1"/>
  <c r="F3" i="24"/>
  <c r="F2" i="26" s="1"/>
  <c r="F4" i="24"/>
  <c r="F7"/>
  <c r="F9"/>
  <c r="F10"/>
  <c r="F23"/>
  <c r="F24"/>
  <c r="I14"/>
  <c r="E13" i="25" s="1"/>
  <c r="I10" i="24"/>
  <c r="E9" i="25" s="1"/>
  <c r="I6" i="24"/>
  <c r="E5" i="25" s="1"/>
  <c r="I27" i="24"/>
  <c r="E26" i="25" s="1"/>
  <c r="I19" i="24"/>
  <c r="E18" i="25" s="1"/>
  <c r="I32" i="24"/>
  <c r="E31" i="25" s="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I31" i="24"/>
  <c r="E30" i="25" s="1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D11" i="1" l="1"/>
  <c r="AU11" l="1"/>
  <c r="D12"/>
  <c r="H6" i="13"/>
  <c r="J5" i="11"/>
  <c r="E5" i="23"/>
  <c r="H3" i="13"/>
  <c r="AU12" i="1" l="1"/>
  <c r="D13"/>
  <c r="J6" i="11"/>
  <c r="E6" i="23"/>
  <c r="H7" i="13"/>
  <c r="AU13" i="1" l="1"/>
  <c r="D14"/>
  <c r="E7" i="23"/>
  <c r="J7" i="11"/>
  <c r="H8" i="13"/>
  <c r="D15" i="1" l="1"/>
  <c r="AU14"/>
  <c r="J8" i="11"/>
  <c r="H9" i="13"/>
  <c r="E8" i="23"/>
  <c r="AU15" i="1" l="1"/>
  <c r="D16"/>
  <c r="E9" i="23"/>
  <c r="J9" i="11"/>
  <c r="H10" i="13"/>
  <c r="AU16" i="1" l="1"/>
  <c r="D17"/>
  <c r="E10" i="23"/>
  <c r="J10" i="11"/>
  <c r="H11" i="13"/>
  <c r="AU17" i="1" l="1"/>
  <c r="D18"/>
  <c r="E11" i="23"/>
  <c r="H12" i="13"/>
  <c r="J11" i="11"/>
  <c r="AU18" i="1" l="1"/>
  <c r="D19"/>
  <c r="H13" i="13"/>
  <c r="E12" i="23"/>
  <c r="J12" i="11"/>
  <c r="AU19" i="1" l="1"/>
  <c r="D20"/>
  <c r="E13" i="23"/>
  <c r="J13" i="11"/>
  <c r="H14" i="13"/>
  <c r="AU20" i="1" l="1"/>
  <c r="D21"/>
  <c r="H15" i="13"/>
  <c r="E14" i="23"/>
  <c r="J14" i="11"/>
  <c r="AU21" i="1" l="1"/>
  <c r="D22"/>
  <c r="E15" i="23"/>
  <c r="J15" i="11"/>
  <c r="H16" i="13"/>
  <c r="AU22" i="1" l="1"/>
  <c r="D23"/>
  <c r="E16" i="23"/>
  <c r="J16" i="11"/>
  <c r="H17" i="13"/>
  <c r="AU23" i="1" l="1"/>
  <c r="D24"/>
  <c r="H18" i="13"/>
  <c r="J17" i="11"/>
  <c r="E17" i="23"/>
  <c r="AU24" i="1" l="1"/>
  <c r="D25"/>
  <c r="E18" i="23"/>
  <c r="H19" i="13"/>
  <c r="J18" i="11"/>
  <c r="AU25" i="1" l="1"/>
  <c r="D26"/>
  <c r="H20" i="13"/>
  <c r="J19" i="11"/>
  <c r="E19" i="23"/>
  <c r="AU26" i="1" l="1"/>
  <c r="D27"/>
  <c r="E20" i="23"/>
  <c r="H21" i="13"/>
  <c r="J20" i="11"/>
  <c r="AU27" i="1" l="1"/>
  <c r="D28"/>
  <c r="E21" i="23"/>
  <c r="H22" i="13"/>
  <c r="J21" i="11"/>
  <c r="AU28" i="1" l="1"/>
  <c r="D29"/>
  <c r="E22" i="23"/>
  <c r="H23" i="13"/>
  <c r="J22" i="11"/>
  <c r="AU29" i="1" l="1"/>
  <c r="D30"/>
  <c r="E23" i="23"/>
  <c r="J23" i="11"/>
  <c r="H24" i="13"/>
  <c r="AU30" i="1" l="1"/>
  <c r="D31"/>
  <c r="H25" i="13"/>
  <c r="E24" i="23"/>
  <c r="J24" i="11"/>
  <c r="AU31" i="1" l="1"/>
  <c r="D32"/>
  <c r="E25" i="23"/>
  <c r="H26" i="13"/>
  <c r="J25" i="11"/>
  <c r="AU32" i="1" l="1"/>
  <c r="D33"/>
  <c r="E26" i="23"/>
  <c r="J26" i="11"/>
  <c r="H27" i="13"/>
  <c r="AU33" i="1" l="1"/>
  <c r="D34"/>
  <c r="H28" i="13"/>
  <c r="J27" i="11"/>
  <c r="E27" i="23"/>
  <c r="AU34" i="1" l="1"/>
  <c r="D35"/>
  <c r="E28" i="23"/>
  <c r="H29" i="13"/>
  <c r="J28" i="11"/>
  <c r="AU35" i="1" l="1"/>
  <c r="D36"/>
  <c r="H30" i="13"/>
  <c r="J29" i="11"/>
  <c r="E29" i="23"/>
  <c r="AU36" i="1" l="1"/>
  <c r="D37"/>
  <c r="J30" i="11"/>
  <c r="H31" i="13"/>
  <c r="E30" i="23"/>
  <c r="AU37" i="1" l="1"/>
  <c r="D38"/>
  <c r="H32" i="13"/>
  <c r="E31" i="23"/>
  <c r="J31" i="11"/>
  <c r="AU38" i="1" l="1"/>
  <c r="D39"/>
  <c r="J32" i="11"/>
  <c r="E32" i="23"/>
  <c r="H33" i="13"/>
  <c r="AU39" i="1" l="1"/>
  <c r="D40"/>
  <c r="H34" i="13"/>
  <c r="J33" i="11"/>
  <c r="E33" i="23"/>
  <c r="AU40" i="1" l="1"/>
  <c r="D41"/>
  <c r="H35" i="13"/>
  <c r="E34" i="23"/>
  <c r="J34" i="11"/>
  <c r="AU41" i="1" l="1"/>
  <c r="D42"/>
  <c r="H36" i="13"/>
  <c r="E35" i="23"/>
  <c r="J35" i="11"/>
  <c r="AU42" i="1" l="1"/>
  <c r="D43"/>
  <c r="E36" i="23"/>
  <c r="J36" i="11"/>
  <c r="AU43" i="1" l="1"/>
</calcChain>
</file>

<file path=xl/comments1.xml><?xml version="1.0" encoding="utf-8"?>
<comments xmlns="http://schemas.openxmlformats.org/spreadsheetml/2006/main">
  <authors>
    <author>Josephat.Mnganya</author>
  </authors>
  <commentList>
    <comment ref="AJ11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Paid</t>
        </r>
      </text>
    </comment>
    <comment ref="AJ12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Used by Green land vehicle</t>
        </r>
      </text>
    </comment>
    <comment ref="AJ14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Used by Green land vehicle</t>
        </r>
      </text>
    </comment>
    <comment ref="J22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Incenerator</t>
        </r>
      </text>
    </comment>
    <comment ref="J23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Incenerator</t>
        </r>
      </text>
    </comment>
    <comment ref="AJ31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paid</t>
        </r>
      </text>
    </comment>
  </commentList>
</comments>
</file>

<file path=xl/sharedStrings.xml><?xml version="1.0" encoding="utf-8"?>
<sst xmlns="http://schemas.openxmlformats.org/spreadsheetml/2006/main" count="580" uniqueCount="348">
  <si>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</si>
  <si>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</si>
  <si>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</si>
  <si>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</si>
  <si>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</si>
  <si>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</si>
  <si>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</si>
  <si>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</si>
  <si>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</si>
  <si>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</si>
  <si>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</si>
  <si>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</si>
  <si>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</si>
  <si>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</si>
  <si>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</si>
  <si>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</si>
  <si>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</si>
  <si>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</si>
  <si>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</si>
  <si>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</si>
  <si>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</si>
  <si>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</si>
  <si>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</si>
  <si>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</si>
  <si>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</si>
  <si>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</si>
  <si>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</si>
  <si>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</si>
  <si>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</si>
  <si>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</si>
  <si>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</si>
  <si>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</si>
  <si>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</si>
  <si>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</si>
  <si>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</si>
  <si>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</si>
  <si>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</si>
  <si>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</si>
  <si>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</si>
  <si>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</si>
  <si>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</si>
  <si>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</si>
  <si>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</si>
  <si>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</si>
  <si>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</si>
  <si>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</si>
  <si>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</si>
  <si>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</si>
  <si>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</si>
  <si>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</si>
  <si>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Occupenccy %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</si>
  <si>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</si>
  <si>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</si>
  <si>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</si>
  <si>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</si>
  <si>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</si>
  <si>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</si>
  <si>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</si>
  <si>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</si>
  <si>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</si>
  <si>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</si>
  <si>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</si>
  <si>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</si>
  <si>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</si>
  <si>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</si>
  <si>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</si>
  <si>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</si>
  <si>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</si>
  <si>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</si>
  <si>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</si>
  <si>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</si>
  <si>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</si>
  <si>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</si>
  <si>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</si>
  <si>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</si>
  <si>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</si>
  <si>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</si>
  <si>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</si>
  <si>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</si>
  <si>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</si>
  <si>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</si>
  <si>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</si>
  <si>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</si>
  <si>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</si>
  <si>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</si>
  <si>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</si>
  <si>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</si>
  <si>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</si>
  <si>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</si>
  <si>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</si>
  <si>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</si>
  <si>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</si>
  <si>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</si>
  <si>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</si>
  <si>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</si>
  <si>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</si>
  <si>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</si>
  <si>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</si>
  <si>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</si>
  <si>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</si>
  <si>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</si>
  <si>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</si>
  <si>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</si>
  <si>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</si>
  <si>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</si>
  <si>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</si>
  <si>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</si>
  <si>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</si>
  <si>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</si>
  <si>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</si>
  <si>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</si>
  <si>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</si>
  <si>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</si>
  <si>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</si>
  <si>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</si>
  <si>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</si>
  <si>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</si>
  <si>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</si>
  <si>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</si>
  <si>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</si>
  <si>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</si>
  <si>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</si>
  <si>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</si>
  <si>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</si>
  <si>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</si>
  <si>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</si>
  <si>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</si>
  <si>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</si>
  <si>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</si>
  <si>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</si>
  <si>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</si>
  <si>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</si>
  <si>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</si>
  <si>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</si>
  <si>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</si>
  <si>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</si>
  <si>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</si>
  <si>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</si>
  <si>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</si>
  <si>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</si>
  <si>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</si>
  <si>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</si>
  <si>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</si>
  <si>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</si>
  <si>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</si>
  <si>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</si>
  <si>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</si>
  <si>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</si>
  <si>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</si>
  <si>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</si>
  <si>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</si>
  <si>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</si>
  <si>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</si>
  <si>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</si>
  <si>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</si>
  <si>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</si>
  <si>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</si>
  <si>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</si>
  <si>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</si>
  <si>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</si>
  <si>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</si>
  <si>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</si>
  <si>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</si>
  <si>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</si>
  <si>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</si>
  <si>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</si>
  <si>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</si>
  <si>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</si>
  <si>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</si>
  <si>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</si>
  <si>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</si>
  <si>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</si>
  <si>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</si>
  <si>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</si>
  <si>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</si>
  <si>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</si>
  <si>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</si>
  <si>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</si>
  <si>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</si>
  <si>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</si>
  <si>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</si>
  <si>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</si>
  <si>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Generator and Diseal Summry Report  JANUARY 2016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</si>
  <si>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</si>
  <si>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</si>
  <si>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</si>
  <si>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</si>
  <si>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</si>
  <si>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</si>
  <si>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</si>
  <si>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</si>
  <si>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</si>
  <si>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</si>
  <si>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</si>
  <si>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</si>
  <si>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</si>
  <si>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</si>
  <si>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</si>
  <si>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</si>
  <si>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</si>
  <si>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</si>
  <si>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</si>
  <si>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</si>
  <si>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</si>
  <si>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</si>
  <si>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</si>
  <si>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</si>
  <si>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</si>
  <si>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</si>
  <si>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</si>
  <si>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</si>
  <si>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</si>
  <si>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</si>
  <si>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</si>
  <si>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</si>
  <si>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</si>
  <si>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</si>
  <si>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</si>
  <si>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</si>
  <si>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</si>
  <si>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</si>
  <si>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</si>
  <si>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</si>
  <si>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</si>
  <si>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</si>
  <si>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</si>
  <si>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</si>
  <si>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</si>
  <si>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</si>
  <si>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</si>
  <si>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</si>
  <si>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</si>
  <si>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</si>
  <si>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</si>
  <si>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</si>
  <si>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</si>
  <si>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</si>
  <si>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</si>
  <si>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</si>
  <si>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</si>
  <si>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</si>
  <si>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</si>
  <si>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</si>
  <si>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</si>
  <si>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</si>
  <si>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</si>
  <si>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</si>
  <si>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</si>
  <si>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</si>
  <si>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</si>
  <si>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</si>
  <si>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</si>
  <si>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</si>
  <si>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</si>
  <si>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</si>
  <si>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</si>
  <si>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</si>
  <si>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</si>
  <si>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</si>
  <si>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</si>
  <si>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</si>
  <si>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</si>
  <si>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</si>
  <si>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</si>
  <si>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</si>
  <si>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</si>
  <si>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</si>
  <si>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</si>
  <si>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</si>
  <si>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</si>
  <si>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</si>
  <si>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</si>
  <si>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</si>
  <si>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</si>
  <si>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</si>
  <si>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</si>
  <si>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</si>
  <si>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</si>
  <si>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</si>
  <si>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</si>
  <si>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</si>
  <si>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</si>
  <si>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</si>
  <si>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</si>
  <si>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</si>
  <si>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</si>
  <si>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</si>
  <si>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</si>
  <si>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</si>
  <si>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</si>
  <si>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</si>
  <si>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</si>
  <si>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</si>
  <si>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</si>
  <si>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</si>
  <si>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</si>
  <si>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</si>
  <si>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</si>
  <si>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</si>
  <si>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</si>
  <si>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</si>
  <si>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</si>
  <si>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</si>
  <si>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</si>
  <si>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</si>
  <si>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 xml:space="preserve">NOVEMBER UTILITY REPORT </t>
  </si>
  <si>
    <t>Total water Consumption  (M3)</t>
  </si>
  <si>
    <t xml:space="preserve">Total Bore holes production  (M3) </t>
  </si>
  <si>
    <t>Company</t>
  </si>
  <si>
    <t>PUMA</t>
  </si>
  <si>
    <t>READING HOURS METER</t>
  </si>
  <si>
    <t>Authority manager</t>
  </si>
  <si>
    <t>GREEN LAND VEHICLES</t>
  </si>
  <si>
    <t xml:space="preserve">Four Seasons Safari Lodge Serengeti March 2020- Water Report </t>
  </si>
  <si>
    <t>HLP REPORT MARCH 2020</t>
  </si>
  <si>
    <t>Generator and Diseal Summry Report  March 2020</t>
  </si>
  <si>
    <t>DAILY UTILITY REPORT March 2020</t>
  </si>
  <si>
    <t>T 837 BUG</t>
  </si>
  <si>
    <t>T 736 CCV</t>
  </si>
  <si>
    <t>Japhari</t>
  </si>
  <si>
    <t>Elihuruma</t>
  </si>
  <si>
    <t>Naftal</t>
  </si>
  <si>
    <t>Zakayo</t>
  </si>
  <si>
    <t>T 132 CWQ</t>
  </si>
  <si>
    <t>Joseph</t>
  </si>
  <si>
    <t>T 882 DKQ</t>
  </si>
  <si>
    <t>T111CWQ</t>
  </si>
  <si>
    <t>Richard</t>
  </si>
  <si>
    <t>T880DKQ</t>
  </si>
  <si>
    <t>Baraka</t>
  </si>
  <si>
    <t>T840DDW</t>
  </si>
  <si>
    <t>Kelvin</t>
  </si>
  <si>
    <t>T986DTA</t>
  </si>
  <si>
    <t>Rajabu</t>
  </si>
  <si>
    <t>paid</t>
  </si>
  <si>
    <t>T106CWQ</t>
  </si>
  <si>
    <t>Dickson</t>
  </si>
  <si>
    <t>T 242 AXN</t>
  </si>
  <si>
    <t>ARUSHA          T 139 AXE</t>
  </si>
  <si>
    <t>T882DKQ</t>
  </si>
  <si>
    <t>Gurisha</t>
  </si>
  <si>
    <t>TKAW478P</t>
  </si>
  <si>
    <t>Destro</t>
  </si>
  <si>
    <t xml:space="preserve">Airtel </t>
  </si>
  <si>
    <t xml:space="preserve">Vodacom </t>
  </si>
  <si>
    <t>TANK A</t>
  </si>
  <si>
    <t>TANK B</t>
  </si>
  <si>
    <t>TANK C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</si>
</sst>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6"/>
      <color theme="1"/>
      <name val="Calibri"/>
      <family val="2"/>
      <scheme val="minor"/>
    </font>
    <font>
      <b/>
      <sz val="9"/>
      <name val="Arial"/>
      <family val="2"/>
    </font>
    <font>
      <sz val="14"/>
      <color theme="1"/>
      <name val="Arial"/>
      <family val="2"/>
    </font>
    <font>
      <b/>
      <sz val="9"/>
      <color rgb="FFFF0000"/>
      <name val="Century Gothic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0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theme="1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908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165" fontId="3" fillId="4" borderId="5" xfId="0" applyNumberFormat="1" applyFont="1" applyFill="1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1" xfId="0" applyFill="1" applyBorder="1"/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5" fillId="0" borderId="1" xfId="0" applyNumberFormat="1" applyFont="1" applyFill="1" applyBorder="1" applyAlignment="1">
      <alignment horizontal="center"/>
    </xf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2" fillId="0" borderId="17" xfId="0" applyFont="1" applyBorder="1" applyAlignment="1">
      <alignment horizontal="center"/>
    </xf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40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166" fontId="19" fillId="0" borderId="24" xfId="1" applyNumberFormat="1" applyFont="1" applyBorder="1" applyAlignment="1">
      <alignment horizontal="center" vertical="center" wrapText="1"/>
    </xf>
    <xf numFmtId="166" fontId="19" fillId="0" borderId="41" xfId="1" applyNumberFormat="1" applyFont="1" applyBorder="1" applyAlignment="1">
      <alignment horizontal="center" vertical="center" wrapText="1"/>
    </xf>
    <xf numFmtId="166" fontId="0" fillId="12" borderId="42" xfId="0" applyNumberFormat="1" applyFill="1" applyBorder="1"/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165" fontId="0" fillId="12" borderId="26" xfId="0" applyNumberFormat="1" applyFill="1" applyBorder="1"/>
    <xf numFmtId="0" fontId="0" fillId="12" borderId="1" xfId="0" applyFill="1" applyBorder="1"/>
    <xf numFmtId="0" fontId="0" fillId="12" borderId="43" xfId="0" applyFill="1" applyBorder="1"/>
    <xf numFmtId="0" fontId="0" fillId="12" borderId="46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4" xfId="0" applyFont="1" applyBorder="1" applyAlignment="1">
      <alignment horizontal="center" wrapText="1"/>
    </xf>
    <xf numFmtId="0" fontId="24" fillId="0" borderId="54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9" fontId="0" fillId="12" borderId="49" xfId="0" applyNumberFormat="1" applyFill="1" applyBorder="1"/>
    <xf numFmtId="0" fontId="0" fillId="0" borderId="0" xfId="0" applyFill="1" applyBorder="1"/>
    <xf numFmtId="166" fontId="0" fillId="0" borderId="0" xfId="0" applyNumberFormat="1" applyFill="1" applyBorder="1"/>
    <xf numFmtId="166" fontId="8" fillId="12" borderId="38" xfId="1" applyNumberFormat="1" applyFont="1" applyFill="1" applyBorder="1"/>
    <xf numFmtId="9" fontId="8" fillId="0" borderId="0" xfId="0" applyNumberFormat="1" applyFont="1" applyBorder="1"/>
    <xf numFmtId="166" fontId="8" fillId="12" borderId="0" xfId="1" applyNumberFormat="1" applyFont="1" applyFill="1" applyBorder="1"/>
    <xf numFmtId="166" fontId="8" fillId="0" borderId="0" xfId="1" applyNumberFormat="1" applyFont="1" applyBorder="1"/>
    <xf numFmtId="165" fontId="8" fillId="0" borderId="38" xfId="0" applyNumberFormat="1" applyFont="1" applyBorder="1"/>
    <xf numFmtId="0" fontId="8" fillId="0" borderId="0" xfId="0" applyFont="1" applyBorder="1"/>
    <xf numFmtId="166" fontId="8" fillId="0" borderId="0" xfId="1" applyNumberFormat="1" applyFont="1" applyFill="1" applyBorder="1"/>
    <xf numFmtId="166" fontId="8" fillId="0" borderId="54" xfId="1" applyNumberFormat="1" applyFont="1" applyBorder="1"/>
    <xf numFmtId="0" fontId="8" fillId="0" borderId="38" xfId="0" applyFont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top" wrapText="1"/>
    </xf>
    <xf numFmtId="1" fontId="0" fillId="0" borderId="1" xfId="0" applyNumberFormat="1" applyBorder="1"/>
    <xf numFmtId="165" fontId="0" fillId="0" borderId="1" xfId="0" applyNumberFormat="1" applyBorder="1"/>
    <xf numFmtId="0" fontId="10" fillId="19" borderId="1" xfId="0" applyFont="1" applyFill="1" applyBorder="1" applyAlignment="1">
      <alignment vertical="top"/>
    </xf>
    <xf numFmtId="165" fontId="0" fillId="19" borderId="1" xfId="0" applyNumberFormat="1" applyFill="1" applyBorder="1"/>
    <xf numFmtId="0" fontId="10" fillId="20" borderId="1" xfId="0" applyFont="1" applyFill="1" applyBorder="1" applyAlignment="1">
      <alignment vertical="top"/>
    </xf>
    <xf numFmtId="0" fontId="10" fillId="20" borderId="1" xfId="0" applyFont="1" applyFill="1" applyBorder="1" applyAlignment="1">
      <alignment vertical="top" wrapText="1"/>
    </xf>
    <xf numFmtId="0" fontId="0" fillId="20" borderId="1" xfId="0" applyFill="1" applyBorder="1"/>
    <xf numFmtId="0" fontId="10" fillId="21" borderId="1" xfId="0" applyFont="1" applyFill="1" applyBorder="1" applyAlignment="1">
      <alignment vertical="top"/>
    </xf>
    <xf numFmtId="1" fontId="0" fillId="21" borderId="1" xfId="0" applyNumberFormat="1" applyFill="1" applyBorder="1"/>
    <xf numFmtId="0" fontId="10" fillId="21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68" xfId="0" applyFont="1" applyFill="1" applyBorder="1" applyAlignment="1">
      <alignment horizontal="center" wrapText="1"/>
    </xf>
    <xf numFmtId="0" fontId="19" fillId="16" borderId="69" xfId="0" applyFont="1" applyFill="1" applyBorder="1" applyAlignment="1">
      <alignment horizontal="center" vertical="center" wrapText="1"/>
    </xf>
    <xf numFmtId="0" fontId="19" fillId="16" borderId="70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0" fontId="25" fillId="0" borderId="71" xfId="0" applyFont="1" applyBorder="1"/>
    <xf numFmtId="0" fontId="26" fillId="0" borderId="71" xfId="0" applyFont="1" applyBorder="1"/>
    <xf numFmtId="0" fontId="25" fillId="0" borderId="0" xfId="0" applyFont="1" applyBorder="1"/>
    <xf numFmtId="18" fontId="25" fillId="0" borderId="71" xfId="0" applyNumberFormat="1" applyFont="1" applyBorder="1"/>
    <xf numFmtId="0" fontId="0" fillId="0" borderId="72" xfId="0" applyBorder="1"/>
    <xf numFmtId="173" fontId="0" fillId="0" borderId="0" xfId="0" applyNumberFormat="1"/>
    <xf numFmtId="174" fontId="0" fillId="0" borderId="0" xfId="0" applyNumberFormat="1"/>
    <xf numFmtId="0" fontId="25" fillId="0" borderId="73" xfId="0" applyFont="1" applyBorder="1"/>
    <xf numFmtId="0" fontId="25" fillId="0" borderId="74" xfId="0" applyFont="1" applyBorder="1"/>
    <xf numFmtId="0" fontId="0" fillId="0" borderId="30" xfId="0" applyBorder="1"/>
    <xf numFmtId="0" fontId="0" fillId="0" borderId="38" xfId="0" applyBorder="1"/>
    <xf numFmtId="0" fontId="2" fillId="0" borderId="31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17" fontId="2" fillId="0" borderId="47" xfId="0" applyNumberFormat="1" applyFont="1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0" fontId="19" fillId="16" borderId="75" xfId="0" applyFont="1" applyFill="1" applyBorder="1" applyAlignment="1">
      <alignment horizontal="center" vertical="center" wrapText="1"/>
    </xf>
    <xf numFmtId="0" fontId="25" fillId="0" borderId="76" xfId="0" applyFont="1" applyBorder="1"/>
    <xf numFmtId="173" fontId="0" fillId="0" borderId="0" xfId="0" applyNumberFormat="1" applyBorder="1"/>
    <xf numFmtId="164" fontId="25" fillId="0" borderId="1" xfId="3" applyFont="1" applyBorder="1"/>
    <xf numFmtId="0" fontId="0" fillId="0" borderId="38" xfId="0" applyBorder="1" applyAlignment="1">
      <alignment horizontal="center" vertical="center" wrapText="1"/>
    </xf>
    <xf numFmtId="10" fontId="0" fillId="0" borderId="1" xfId="6" applyNumberFormat="1" applyFont="1" applyBorder="1" applyAlignment="1">
      <alignment horizontal="center" vertical="center" wrapText="1"/>
    </xf>
    <xf numFmtId="164" fontId="25" fillId="0" borderId="26" xfId="3" applyFont="1" applyBorder="1"/>
    <xf numFmtId="10" fontId="0" fillId="0" borderId="26" xfId="6" applyNumberFormat="1" applyFont="1" applyBorder="1" applyAlignment="1">
      <alignment horizontal="center" vertical="center" wrapText="1"/>
    </xf>
    <xf numFmtId="0" fontId="0" fillId="0" borderId="2" xfId="0" applyBorder="1"/>
    <xf numFmtId="0" fontId="0" fillId="0" borderId="31" xfId="0" applyBorder="1"/>
    <xf numFmtId="0" fontId="25" fillId="0" borderId="77" xfId="0" applyFont="1" applyBorder="1"/>
    <xf numFmtId="0" fontId="0" fillId="12" borderId="27" xfId="0" applyFill="1" applyBorder="1"/>
    <xf numFmtId="0" fontId="19" fillId="0" borderId="59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6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19" fillId="12" borderId="1" xfId="0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45" xfId="0" applyFont="1" applyBorder="1" applyAlignment="1">
      <alignment vertical="center"/>
    </xf>
    <xf numFmtId="0" fontId="19" fillId="12" borderId="18" xfId="0" applyFont="1" applyFill="1" applyBorder="1" applyAlignment="1">
      <alignment horizontal="center" vertical="center" wrapText="1"/>
    </xf>
    <xf numFmtId="0" fontId="19" fillId="12" borderId="12" xfId="0" applyFont="1" applyFill="1" applyBorder="1" applyAlignment="1">
      <alignment horizontal="center" vertical="center" wrapText="1"/>
    </xf>
    <xf numFmtId="0" fontId="19" fillId="12" borderId="28" xfId="0" applyFont="1" applyFill="1" applyBorder="1" applyAlignment="1">
      <alignment horizontal="center" vertical="center" wrapText="1"/>
    </xf>
    <xf numFmtId="0" fontId="19" fillId="0" borderId="46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166" fontId="0" fillId="12" borderId="57" xfId="0" applyNumberFormat="1" applyFill="1" applyBorder="1"/>
    <xf numFmtId="0" fontId="0" fillId="12" borderId="41" xfId="0" applyFill="1" applyBorder="1"/>
    <xf numFmtId="0" fontId="0" fillId="14" borderId="38" xfId="0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9" fontId="19" fillId="12" borderId="1" xfId="0" applyNumberFormat="1" applyFont="1" applyFill="1" applyBorder="1" applyAlignment="1">
      <alignment horizontal="center" vertical="center" wrapText="1"/>
    </xf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31" fillId="10" borderId="1" xfId="1" applyFont="1" applyFill="1" applyBorder="1" applyAlignment="1">
      <alignment horizontal="center"/>
    </xf>
    <xf numFmtId="165" fontId="31" fillId="10" borderId="0" xfId="1" applyFont="1" applyFill="1" applyBorder="1" applyAlignment="1">
      <alignment horizontal="center"/>
    </xf>
    <xf numFmtId="165" fontId="16" fillId="0" borderId="0" xfId="1" applyFont="1" applyBorder="1" applyAlignment="1">
      <alignment horizontal="center"/>
    </xf>
    <xf numFmtId="165" fontId="16" fillId="0" borderId="4" xfId="1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11" borderId="0" xfId="1" applyNumberFormat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7" fontId="16" fillId="0" borderId="4" xfId="0" applyNumberFormat="1" applyFont="1" applyBorder="1" applyAlignment="1">
      <alignment horizontal="center"/>
    </xf>
    <xf numFmtId="165" fontId="16" fillId="10" borderId="1" xfId="1" applyFont="1" applyFill="1" applyBorder="1" applyAlignment="1">
      <alignment horizontal="center"/>
    </xf>
    <xf numFmtId="165" fontId="16" fillId="10" borderId="5" xfId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4" fontId="10" fillId="7" borderId="1" xfId="0" applyNumberFormat="1" applyFont="1" applyFill="1" applyBorder="1" applyAlignment="1">
      <alignment horizontal="center"/>
    </xf>
    <xf numFmtId="165" fontId="11" fillId="11" borderId="1" xfId="1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10" borderId="1" xfId="1" applyNumberFormat="1" applyFont="1" applyFill="1" applyBorder="1" applyAlignment="1">
      <alignment horizontal="center"/>
    </xf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9" fontId="11" fillId="0" borderId="1" xfId="0" applyNumberFormat="1" applyFont="1" applyBorder="1" applyAlignment="1">
      <alignment horizontal="center"/>
    </xf>
    <xf numFmtId="0" fontId="35" fillId="5" borderId="65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11" borderId="1" xfId="1" applyNumberFormat="1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4" fontId="10" fillId="8" borderId="1" xfId="0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1" fillId="11" borderId="4" xfId="1" applyNumberFormat="1" applyFont="1" applyFill="1" applyBorder="1" applyAlignment="1">
      <alignment horizontal="center"/>
    </xf>
    <xf numFmtId="0" fontId="16" fillId="0" borderId="4" xfId="1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34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6" xfId="0" applyNumberFormat="1" applyBorder="1" applyAlignment="1">
      <alignment horizontal="center"/>
    </xf>
    <xf numFmtId="0" fontId="0" fillId="0" borderId="54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84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85" xfId="4" applyFont="1" applyFill="1" applyBorder="1" applyAlignment="1">
      <alignment horizontal="center"/>
    </xf>
    <xf numFmtId="0" fontId="19" fillId="7" borderId="86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55" xfId="0" applyNumberFormat="1" applyBorder="1" applyAlignment="1">
      <alignment horizontal="center"/>
    </xf>
    <xf numFmtId="14" fontId="0" fillId="0" borderId="87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165" fontId="0" fillId="29" borderId="26" xfId="0" applyNumberFormat="1" applyFill="1" applyBorder="1"/>
    <xf numFmtId="0" fontId="4" fillId="0" borderId="1" xfId="0" applyFont="1" applyBorder="1" applyAlignment="1"/>
    <xf numFmtId="0" fontId="6" fillId="29" borderId="1" xfId="0" applyFont="1" applyFill="1" applyBorder="1" applyAlignment="1">
      <alignment horizontal="center"/>
    </xf>
    <xf numFmtId="0" fontId="6" fillId="29" borderId="22" xfId="0" applyFont="1" applyFill="1" applyBorder="1"/>
    <xf numFmtId="1" fontId="6" fillId="29" borderId="1" xfId="1" applyNumberFormat="1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14" borderId="2" xfId="0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vertical="top"/>
    </xf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2" xfId="0" applyFont="1" applyFill="1" applyBorder="1" applyAlignment="1">
      <alignment horizontal="center" vertical="center" wrapText="1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61" xfId="0" applyFont="1" applyFill="1" applyBorder="1" applyAlignment="1">
      <alignment horizontal="center" vertical="center" wrapText="1"/>
    </xf>
    <xf numFmtId="0" fontId="19" fillId="12" borderId="62" xfId="0" applyFont="1" applyFill="1" applyBorder="1" applyAlignment="1">
      <alignment horizontal="center" vertical="center" wrapText="1"/>
    </xf>
    <xf numFmtId="0" fontId="19" fillId="12" borderId="63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7" borderId="96" xfId="4" applyFont="1" applyFill="1" applyBorder="1" applyAlignment="1">
      <alignment horizontal="center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8" xfId="1" applyFont="1" applyBorder="1" applyAlignment="1">
      <alignment horizontal="center"/>
    </xf>
    <xf numFmtId="165" fontId="16" fillId="0" borderId="97" xfId="1" applyFont="1" applyBorder="1" applyAlignment="1">
      <alignment horizontal="center"/>
    </xf>
    <xf numFmtId="165" fontId="16" fillId="16" borderId="1" xfId="1" applyNumberFormat="1" applyFont="1" applyFill="1" applyBorder="1" applyAlignment="1">
      <alignment horizontal="center"/>
    </xf>
    <xf numFmtId="9" fontId="20" fillId="0" borderId="1" xfId="6" applyFont="1" applyBorder="1" applyAlignment="1">
      <alignment horizontal="center" vertical="top" wrapText="1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0" fontId="0" fillId="28" borderId="10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4" fontId="4" fillId="8" borderId="4" xfId="0" applyNumberFormat="1" applyFont="1" applyFill="1" applyBorder="1" applyAlignment="1">
      <alignment horizontal="center"/>
    </xf>
    <xf numFmtId="165" fontId="16" fillId="10" borderId="4" xfId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0" fontId="4" fillId="8" borderId="54" xfId="0" applyFont="1" applyFill="1" applyBorder="1" applyAlignment="1">
      <alignment horizontal="center"/>
    </xf>
    <xf numFmtId="0" fontId="4" fillId="8" borderId="90" xfId="0" applyFont="1" applyFill="1" applyBorder="1" applyAlignment="1">
      <alignment horizontal="center"/>
    </xf>
    <xf numFmtId="0" fontId="10" fillId="8" borderId="33" xfId="0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165" fontId="10" fillId="8" borderId="33" xfId="0" applyNumberFormat="1" applyFont="1" applyFill="1" applyBorder="1" applyAlignment="1">
      <alignment horizontal="center"/>
    </xf>
    <xf numFmtId="165" fontId="10" fillId="8" borderId="64" xfId="0" applyNumberFormat="1" applyFont="1" applyFill="1" applyBorder="1" applyAlignment="1">
      <alignment horizontal="center"/>
    </xf>
    <xf numFmtId="0" fontId="11" fillId="8" borderId="33" xfId="1" applyNumberFormat="1" applyFont="1" applyFill="1" applyBorder="1" applyAlignment="1">
      <alignment horizontal="center"/>
    </xf>
    <xf numFmtId="1" fontId="11" fillId="8" borderId="33" xfId="1" applyNumberFormat="1" applyFont="1" applyFill="1" applyBorder="1" applyAlignment="1">
      <alignment horizontal="center"/>
    </xf>
    <xf numFmtId="1" fontId="34" fillId="8" borderId="33" xfId="0" applyNumberFormat="1" applyFont="1" applyFill="1" applyBorder="1" applyAlignment="1">
      <alignment horizontal="center"/>
    </xf>
    <xf numFmtId="0" fontId="10" fillId="8" borderId="31" xfId="0" applyFont="1" applyFill="1" applyBorder="1"/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0" borderId="22" xfId="1" applyNumberFormat="1" applyFont="1" applyBorder="1"/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26" xfId="0" applyFont="1" applyFill="1" applyBorder="1" applyAlignment="1">
      <alignment horizontal="center" vertical="center"/>
    </xf>
    <xf numFmtId="0" fontId="23" fillId="0" borderId="26" xfId="0" applyFont="1" applyFill="1" applyBorder="1" applyAlignment="1">
      <alignment horizontal="center" vertical="center" wrapText="1"/>
    </xf>
    <xf numFmtId="9" fontId="23" fillId="0" borderId="26" xfId="0" applyNumberFormat="1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4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4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0" fillId="14" borderId="5" xfId="0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0" fontId="19" fillId="16" borderId="4" xfId="0" applyFont="1" applyFill="1" applyBorder="1" applyAlignment="1">
      <alignment horizontal="center" vertical="center" wrapText="1"/>
    </xf>
    <xf numFmtId="169" fontId="17" fillId="0" borderId="26" xfId="0" applyNumberFormat="1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6" xfId="0" applyBorder="1" applyAlignment="1">
      <alignment horizontal="center" wrapText="1"/>
    </xf>
    <xf numFmtId="0" fontId="0" fillId="28" borderId="7" xfId="0" applyFill="1" applyBorder="1" applyAlignment="1">
      <alignment horizontal="center" wrapText="1"/>
    </xf>
    <xf numFmtId="14" fontId="4" fillId="0" borderId="16" xfId="0" applyNumberFormat="1" applyFont="1" applyBorder="1" applyAlignment="1">
      <alignment horizontal="center"/>
    </xf>
    <xf numFmtId="14" fontId="4" fillId="0" borderId="8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14" fontId="4" fillId="0" borderId="10" xfId="0" applyNumberFormat="1" applyFont="1" applyBorder="1" applyAlignment="1">
      <alignment horizontal="center"/>
    </xf>
    <xf numFmtId="0" fontId="4" fillId="7" borderId="90" xfId="0" applyFont="1" applyFill="1" applyBorder="1" applyAlignment="1">
      <alignment horizontal="center" wrapText="1"/>
    </xf>
    <xf numFmtId="0" fontId="4" fillId="7" borderId="64" xfId="0" applyFont="1" applyFill="1" applyBorder="1" applyAlignment="1">
      <alignment horizontal="center" wrapText="1"/>
    </xf>
    <xf numFmtId="0" fontId="4" fillId="34" borderId="61" xfId="0" applyNumberFormat="1" applyFont="1" applyFill="1" applyBorder="1" applyAlignment="1">
      <alignment horizontal="center"/>
    </xf>
    <xf numFmtId="0" fontId="4" fillId="34" borderId="63" xfId="0" applyNumberFormat="1" applyFont="1" applyFill="1" applyBorder="1" applyAlignment="1">
      <alignment horizontal="center"/>
    </xf>
    <xf numFmtId="0" fontId="4" fillId="34" borderId="62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4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4" xfId="0" applyNumberFormat="1" applyFont="1" applyFill="1" applyBorder="1" applyAlignment="1">
      <alignment horizontal="center"/>
    </xf>
    <xf numFmtId="0" fontId="16" fillId="0" borderId="26" xfId="1" applyNumberFormat="1" applyFont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4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0" borderId="14" xfId="1" applyFont="1" applyBorder="1" applyAlignment="1">
      <alignment horizontal="center"/>
    </xf>
    <xf numFmtId="166" fontId="16" fillId="0" borderId="26" xfId="1" applyNumberFormat="1" applyFont="1" applyBorder="1" applyAlignment="1">
      <alignment horizontal="center"/>
    </xf>
    <xf numFmtId="165" fontId="16" fillId="0" borderId="26" xfId="1" applyFont="1" applyBorder="1" applyAlignment="1">
      <alignment horizontal="center"/>
    </xf>
    <xf numFmtId="165" fontId="16" fillId="0" borderId="57" xfId="1" applyFont="1" applyBorder="1" applyAlignment="1">
      <alignment horizontal="center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165" fontId="11" fillId="11" borderId="26" xfId="1" applyNumberFormat="1" applyFont="1" applyFill="1" applyBorder="1" applyAlignment="1">
      <alignment horizontal="center"/>
    </xf>
    <xf numFmtId="0" fontId="11" fillId="11" borderId="27" xfId="1" applyNumberFormat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4" xfId="1" applyNumberFormat="1" applyFont="1" applyFill="1" applyBorder="1" applyAlignment="1">
      <alignment horizontal="center" wrapText="1"/>
    </xf>
    <xf numFmtId="165" fontId="31" fillId="10" borderId="26" xfId="1" applyFont="1" applyFill="1" applyBorder="1" applyAlignment="1">
      <alignment horizontal="center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4" xfId="1" applyFont="1" applyFill="1" applyBorder="1" applyAlignment="1">
      <alignment horizontal="center" wrapText="1"/>
    </xf>
    <xf numFmtId="0" fontId="49" fillId="0" borderId="1" xfId="0" applyFont="1" applyBorder="1" applyAlignment="1">
      <alignment horizontal="center" vertic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14" fontId="4" fillId="0" borderId="39" xfId="0" applyNumberFormat="1" applyFont="1" applyBorder="1" applyAlignment="1">
      <alignment horizontal="center"/>
    </xf>
    <xf numFmtId="0" fontId="4" fillId="0" borderId="1" xfId="0" applyNumberFormat="1" applyFont="1" applyBorder="1" applyAlignment="1">
      <alignment horizontal="center"/>
    </xf>
    <xf numFmtId="0" fontId="26" fillId="0" borderId="99" xfId="0" applyFont="1" applyBorder="1" applyAlignment="1">
      <alignment horizontal="center"/>
    </xf>
    <xf numFmtId="3" fontId="1" fillId="0" borderId="73" xfId="0" applyNumberFormat="1" applyFont="1" applyBorder="1"/>
    <xf numFmtId="0" fontId="25" fillId="0" borderId="100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4" xfId="0" applyFont="1" applyFill="1" applyBorder="1" applyAlignment="1">
      <alignment horizontal="center" wrapText="1"/>
    </xf>
    <xf numFmtId="9" fontId="19" fillId="0" borderId="5" xfId="9" applyNumberFormat="1" applyFont="1" applyBorder="1" applyAlignment="1">
      <alignment horizontal="center" vertical="center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165" fontId="10" fillId="8" borderId="1" xfId="0" applyNumberFormat="1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19" fillId="12" borderId="54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19" fillId="12" borderId="47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" fillId="0" borderId="39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4" fontId="4" fillId="0" borderId="22" xfId="0" applyNumberFormat="1" applyFont="1" applyBorder="1" applyAlignment="1">
      <alignment horizontal="center"/>
    </xf>
    <xf numFmtId="0" fontId="4" fillId="0" borderId="26" xfId="0" applyFont="1" applyBorder="1" applyAlignment="1"/>
    <xf numFmtId="0" fontId="4" fillId="7" borderId="3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4" fontId="4" fillId="0" borderId="22" xfId="0" applyNumberFormat="1" applyFont="1" applyBorder="1" applyAlignment="1">
      <alignment horizontal="center"/>
    </xf>
    <xf numFmtId="166" fontId="2" fillId="12" borderId="16" xfId="1" applyNumberFormat="1" applyFont="1" applyFill="1" applyBorder="1"/>
    <xf numFmtId="166" fontId="2" fillId="12" borderId="25" xfId="1" applyNumberFormat="1" applyFont="1" applyFill="1" applyBorder="1"/>
    <xf numFmtId="166" fontId="2" fillId="12" borderId="26" xfId="1" applyNumberFormat="1" applyFont="1" applyFill="1" applyBorder="1"/>
    <xf numFmtId="164" fontId="2" fillId="12" borderId="26" xfId="3" applyFont="1" applyFill="1" applyBorder="1"/>
    <xf numFmtId="166" fontId="2" fillId="12" borderId="27" xfId="1" applyNumberFormat="1" applyFont="1" applyFill="1" applyBorder="1"/>
    <xf numFmtId="166" fontId="2" fillId="23" borderId="22" xfId="1" applyNumberFormat="1" applyFont="1" applyFill="1" applyBorder="1"/>
    <xf numFmtId="166" fontId="2" fillId="23" borderId="57" xfId="1" applyNumberFormat="1" applyFont="1" applyFill="1" applyBorder="1"/>
    <xf numFmtId="166" fontId="2" fillId="23" borderId="49" xfId="1" applyNumberFormat="1" applyFont="1" applyFill="1" applyBorder="1"/>
    <xf numFmtId="166" fontId="2" fillId="12" borderId="41" xfId="1" applyNumberFormat="1" applyFont="1" applyFill="1" applyBorder="1"/>
    <xf numFmtId="166" fontId="2" fillId="12" borderId="23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166" fontId="2" fillId="12" borderId="53" xfId="1" applyNumberFormat="1" applyFont="1" applyFill="1" applyBorder="1"/>
    <xf numFmtId="166" fontId="2" fillId="12" borderId="57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 applyAlignment="1">
      <alignment horizontal="center"/>
    </xf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0" fontId="10" fillId="8" borderId="48" xfId="0" applyNumberFormat="1" applyFont="1" applyFill="1" applyBorder="1" applyAlignment="1">
      <alignment horizontal="center"/>
    </xf>
    <xf numFmtId="9" fontId="19" fillId="0" borderId="11" xfId="9" applyNumberFormat="1" applyFont="1" applyBorder="1" applyAlignment="1">
      <alignment horizontal="center" vertical="center"/>
    </xf>
    <xf numFmtId="41" fontId="0" fillId="0" borderId="101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0" fontId="25" fillId="0" borderId="102" xfId="0" applyFont="1" applyBorder="1"/>
    <xf numFmtId="0" fontId="26" fillId="0" borderId="103" xfId="0" applyFont="1" applyBorder="1" applyAlignment="1">
      <alignment horizontal="center"/>
    </xf>
    <xf numFmtId="1" fontId="0" fillId="12" borderId="1" xfId="0" applyNumberFormat="1" applyFill="1" applyBorder="1"/>
    <xf numFmtId="0" fontId="0" fillId="0" borderId="1" xfId="0" applyNumberFormat="1" applyBorder="1"/>
    <xf numFmtId="0" fontId="22" fillId="0" borderId="17" xfId="0" applyFont="1" applyBorder="1" applyAlignment="1">
      <alignment vertical="top"/>
    </xf>
    <xf numFmtId="0" fontId="22" fillId="0" borderId="6" xfId="0" applyFont="1" applyBorder="1" applyAlignment="1">
      <alignment vertical="top" wrapText="1"/>
    </xf>
    <xf numFmtId="0" fontId="22" fillId="0" borderId="6" xfId="0" applyFont="1" applyBorder="1" applyAlignment="1">
      <alignment horizontal="center" vertical="top" wrapText="1"/>
    </xf>
    <xf numFmtId="0" fontId="4" fillId="0" borderId="16" xfId="0" applyFont="1" applyBorder="1" applyAlignment="1">
      <alignment vertical="top"/>
    </xf>
    <xf numFmtId="0" fontId="0" fillId="0" borderId="8" xfId="0" applyBorder="1" applyAlignment="1">
      <alignment horizontal="center" vertical="top" wrapText="1"/>
    </xf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90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3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166" fontId="37" fillId="0" borderId="1" xfId="2" applyNumberFormat="1" applyFont="1" applyBorder="1" applyAlignment="1">
      <alignment horizontal="center"/>
    </xf>
    <xf numFmtId="0" fontId="60" fillId="0" borderId="1" xfId="4" applyFont="1" applyBorder="1" applyAlignment="1">
      <alignment horizontal="center"/>
    </xf>
    <xf numFmtId="2" fontId="41" fillId="16" borderId="26" xfId="1" applyNumberFormat="1" applyFont="1" applyFill="1" applyBorder="1" applyAlignment="1"/>
    <xf numFmtId="0" fontId="25" fillId="0" borderId="1" xfId="0" applyFont="1" applyBorder="1" applyAlignment="1">
      <alignment horizontal="center" vertical="center" wrapText="1"/>
    </xf>
    <xf numFmtId="2" fontId="41" fillId="16" borderId="1" xfId="1" applyNumberFormat="1" applyFont="1" applyFill="1" applyBorder="1"/>
    <xf numFmtId="2" fontId="12" fillId="16" borderId="26" xfId="1" applyNumberFormat="1" applyFont="1" applyFill="1" applyBorder="1" applyAlignment="1"/>
    <xf numFmtId="0" fontId="0" fillId="0" borderId="0" xfId="0" applyAlignment="1"/>
    <xf numFmtId="165" fontId="11" fillId="8" borderId="1" xfId="1" applyNumberFormat="1" applyFont="1" applyFill="1" applyBorder="1" applyAlignment="1">
      <alignment horizontal="center"/>
    </xf>
    <xf numFmtId="14" fontId="0" fillId="0" borderId="88" xfId="0" applyNumberFormat="1" applyBorder="1" applyAlignment="1">
      <alignment horizontal="center"/>
    </xf>
    <xf numFmtId="0" fontId="0" fillId="34" borderId="17" xfId="0" applyFill="1" applyBorder="1" applyAlignment="1">
      <alignment horizontal="center" wrapText="1"/>
    </xf>
    <xf numFmtId="0" fontId="0" fillId="10" borderId="6" xfId="0" applyFill="1" applyBorder="1" applyAlignment="1">
      <alignment horizontal="center" wrapText="1"/>
    </xf>
    <xf numFmtId="0" fontId="0" fillId="35" borderId="6" xfId="0" applyFill="1" applyBorder="1" applyAlignment="1">
      <alignment horizontal="center" wrapText="1"/>
    </xf>
    <xf numFmtId="0" fontId="0" fillId="16" borderId="6" xfId="0" applyFill="1" applyBorder="1" applyAlignment="1">
      <alignment horizontal="center" wrapText="1"/>
    </xf>
    <xf numFmtId="0" fontId="0" fillId="34" borderId="16" xfId="0" applyFill="1" applyBorder="1" applyAlignment="1">
      <alignment horizontal="center" wrapText="1"/>
    </xf>
    <xf numFmtId="0" fontId="0" fillId="34" borderId="21" xfId="0" applyFill="1" applyBorder="1" applyAlignment="1">
      <alignment horizontal="center" wrapText="1"/>
    </xf>
    <xf numFmtId="0" fontId="0" fillId="10" borderId="9" xfId="0" applyFill="1" applyBorder="1" applyAlignment="1">
      <alignment horizontal="center" wrapText="1"/>
    </xf>
    <xf numFmtId="0" fontId="0" fillId="35" borderId="9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4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4" xfId="0" applyFont="1" applyFill="1" applyBorder="1" applyAlignment="1">
      <alignment horizontal="center" vertical="center" wrapText="1"/>
    </xf>
    <xf numFmtId="0" fontId="0" fillId="37" borderId="40" xfId="0" applyFill="1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28" borderId="26" xfId="0" applyFill="1" applyBorder="1" applyAlignment="1">
      <alignment horizontal="center" wrapText="1"/>
    </xf>
    <xf numFmtId="0" fontId="0" fillId="34" borderId="49" xfId="0" applyFill="1" applyBorder="1"/>
    <xf numFmtId="0" fontId="0" fillId="33" borderId="40" xfId="0" applyFill="1" applyBorder="1"/>
    <xf numFmtId="0" fontId="0" fillId="0" borderId="26" xfId="0" applyBorder="1"/>
    <xf numFmtId="0" fontId="0" fillId="9" borderId="26" xfId="0" applyFill="1" applyBorder="1"/>
    <xf numFmtId="0" fontId="0" fillId="34" borderId="26" xfId="0" applyFill="1" applyBorder="1"/>
    <xf numFmtId="0" fontId="0" fillId="38" borderId="49" xfId="0" applyFill="1" applyBorder="1"/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2" fillId="16" borderId="1" xfId="1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165" fontId="16" fillId="0" borderId="1" xfId="0" applyNumberFormat="1" applyFont="1" applyBorder="1" applyAlignment="1">
      <alignment horizontal="center"/>
    </xf>
    <xf numFmtId="14" fontId="0" fillId="0" borderId="26" xfId="0" applyNumberFormat="1" applyFill="1" applyBorder="1"/>
    <xf numFmtId="0" fontId="4" fillId="0" borderId="22" xfId="0" applyFont="1" applyBorder="1" applyAlignment="1">
      <alignment horizontal="center"/>
    </xf>
    <xf numFmtId="14" fontId="4" fillId="0" borderId="22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14" fontId="4" fillId="0" borderId="66" xfId="0" applyNumberFormat="1" applyFont="1" applyBorder="1" applyAlignment="1"/>
    <xf numFmtId="0" fontId="10" fillId="0" borderId="34" xfId="1" applyNumberFormat="1" applyFont="1" applyFill="1" applyBorder="1" applyAlignment="1">
      <alignment horizontal="center" vertical="center" wrapText="1"/>
    </xf>
    <xf numFmtId="165" fontId="16" fillId="0" borderId="15" xfId="1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165" fontId="10" fillId="8" borderId="22" xfId="0" applyNumberFormat="1" applyFont="1" applyFill="1" applyBorder="1" applyAlignment="1">
      <alignment horizontal="center"/>
    </xf>
    <xf numFmtId="0" fontId="31" fillId="0" borderId="59" xfId="0" applyFont="1" applyBorder="1" applyAlignment="1">
      <alignment horizontal="center"/>
    </xf>
    <xf numFmtId="165" fontId="16" fillId="0" borderId="49" xfId="1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169" fontId="11" fillId="0" borderId="16" xfId="0" applyNumberFormat="1" applyFont="1" applyFill="1" applyBorder="1" applyAlignment="1">
      <alignment horizontal="center"/>
    </xf>
    <xf numFmtId="166" fontId="16" fillId="0" borderId="8" xfId="1" applyNumberFormat="1" applyFont="1" applyFill="1" applyBorder="1" applyAlignment="1">
      <alignment horizontal="center"/>
    </xf>
    <xf numFmtId="166" fontId="16" fillId="7" borderId="8" xfId="1" applyNumberFormat="1" applyFont="1" applyFill="1" applyBorder="1" applyAlignment="1">
      <alignment horizontal="center"/>
    </xf>
    <xf numFmtId="166" fontId="16" fillId="0" borderId="8" xfId="1" applyNumberFormat="1" applyFont="1" applyBorder="1" applyAlignment="1">
      <alignment horizontal="center"/>
    </xf>
    <xf numFmtId="166" fontId="16" fillId="11" borderId="8" xfId="1" applyNumberFormat="1" applyFont="1" applyFill="1" applyBorder="1" applyAlignment="1">
      <alignment horizontal="center"/>
    </xf>
    <xf numFmtId="0" fontId="10" fillId="8" borderId="66" xfId="0" applyFont="1" applyFill="1" applyBorder="1" applyAlignment="1">
      <alignment horizontal="center"/>
    </xf>
    <xf numFmtId="0" fontId="4" fillId="8" borderId="59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65" fontId="16" fillId="0" borderId="19" xfId="1" applyFont="1" applyBorder="1" applyAlignment="1">
      <alignment horizontal="center"/>
    </xf>
    <xf numFmtId="14" fontId="4" fillId="0" borderId="104" xfId="0" applyNumberFormat="1" applyFont="1" applyBorder="1" applyAlignment="1"/>
    <xf numFmtId="0" fontId="4" fillId="7" borderId="54" xfId="0" applyFont="1" applyFill="1" applyBorder="1" applyAlignment="1"/>
    <xf numFmtId="0" fontId="4" fillId="7" borderId="90" xfId="0" applyFont="1" applyFill="1" applyBorder="1" applyAlignment="1"/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4" xfId="0" applyFont="1" applyFill="1" applyBorder="1" applyAlignment="1">
      <alignment wrapText="1"/>
    </xf>
    <xf numFmtId="14" fontId="4" fillId="0" borderId="27" xfId="0" applyNumberFormat="1" applyFont="1" applyBorder="1" applyAlignment="1"/>
    <xf numFmtId="14" fontId="4" fillId="0" borderId="5" xfId="0" applyNumberFormat="1" applyFont="1" applyBorder="1" applyAlignment="1"/>
    <xf numFmtId="14" fontId="4" fillId="0" borderId="52" xfId="0" applyNumberFormat="1" applyFont="1" applyBorder="1" applyAlignment="1"/>
    <xf numFmtId="0" fontId="4" fillId="0" borderId="9" xfId="0" applyFont="1" applyBorder="1" applyAlignment="1"/>
    <xf numFmtId="0" fontId="4" fillId="7" borderId="32" xfId="0" applyFont="1" applyFill="1" applyBorder="1" applyAlignment="1"/>
    <xf numFmtId="0" fontId="4" fillId="7" borderId="33" xfId="0" applyFont="1" applyFill="1" applyBorder="1" applyAlignment="1">
      <alignment horizontal="center" wrapText="1"/>
    </xf>
    <xf numFmtId="0" fontId="10" fillId="16" borderId="23" xfId="0" applyFont="1" applyFill="1" applyBorder="1" applyAlignment="1"/>
    <xf numFmtId="0" fontId="4" fillId="16" borderId="23" xfId="0" applyFont="1" applyFill="1" applyBorder="1" applyAlignment="1"/>
    <xf numFmtId="14" fontId="4" fillId="0" borderId="55" xfId="0" applyNumberFormat="1" applyFont="1" applyBorder="1" applyAlignment="1"/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4" fillId="0" borderId="8" xfId="0" applyFont="1" applyBorder="1" applyAlignment="1">
      <alignment horizontal="center"/>
    </xf>
    <xf numFmtId="0" fontId="42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16" borderId="23" xfId="0" applyFont="1" applyFill="1" applyBorder="1" applyAlignment="1">
      <alignment horizontal="center"/>
    </xf>
    <xf numFmtId="14" fontId="4" fillId="0" borderId="23" xfId="0" applyNumberFormat="1" applyFont="1" applyBorder="1" applyAlignment="1"/>
    <xf numFmtId="0" fontId="4" fillId="0" borderId="16" xfId="0" applyFont="1" applyBorder="1" applyAlignment="1">
      <alignment horizontal="center"/>
    </xf>
    <xf numFmtId="0" fontId="4" fillId="0" borderId="57" xfId="0" applyFont="1" applyBorder="1" applyAlignment="1">
      <alignment horizontal="center"/>
    </xf>
    <xf numFmtId="0" fontId="4" fillId="0" borderId="58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105" xfId="0" applyFont="1" applyBorder="1" applyAlignment="1">
      <alignment horizontal="center"/>
    </xf>
    <xf numFmtId="0" fontId="62" fillId="0" borderId="1" xfId="4" applyFont="1" applyBorder="1" applyAlignment="1">
      <alignment horizontal="center"/>
    </xf>
    <xf numFmtId="0" fontId="37" fillId="0" borderId="1" xfId="0" applyFont="1" applyBorder="1"/>
    <xf numFmtId="14" fontId="4" fillId="0" borderId="40" xfId="0" applyNumberFormat="1" applyFont="1" applyBorder="1" applyAlignment="1"/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3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0" fillId="37" borderId="21" xfId="0" applyFill="1" applyBorder="1" applyAlignment="1">
      <alignment horizontal="center" wrapText="1"/>
    </xf>
    <xf numFmtId="0" fontId="0" fillId="28" borderId="9" xfId="0" applyFill="1" applyBorder="1" applyAlignment="1">
      <alignment horizontal="center" wrapText="1"/>
    </xf>
    <xf numFmtId="0" fontId="0" fillId="34" borderId="10" xfId="0" applyFill="1" applyBorder="1"/>
    <xf numFmtId="0" fontId="0" fillId="33" borderId="21" xfId="0" applyFill="1" applyBorder="1"/>
    <xf numFmtId="0" fontId="0" fillId="9" borderId="9" xfId="0" applyFill="1" applyBorder="1"/>
    <xf numFmtId="0" fontId="0" fillId="34" borderId="9" xfId="0" applyFill="1" applyBorder="1"/>
    <xf numFmtId="0" fontId="0" fillId="38" borderId="10" xfId="0" applyFill="1" applyBorder="1"/>
    <xf numFmtId="165" fontId="16" fillId="16" borderId="58" xfId="1" applyFont="1" applyFill="1" applyBorder="1" applyAlignment="1">
      <alignment horizontal="center"/>
    </xf>
    <xf numFmtId="166" fontId="16" fillId="0" borderId="58" xfId="1" applyNumberFormat="1" applyFont="1" applyBorder="1" applyAlignment="1">
      <alignment horizontal="center"/>
    </xf>
    <xf numFmtId="0" fontId="0" fillId="0" borderId="20" xfId="0" applyBorder="1"/>
    <xf numFmtId="0" fontId="0" fillId="0" borderId="56" xfId="0" applyBorder="1"/>
    <xf numFmtId="0" fontId="0" fillId="0" borderId="59" xfId="0" applyBorder="1"/>
    <xf numFmtId="0" fontId="0" fillId="0" borderId="60" xfId="0" applyBorder="1"/>
    <xf numFmtId="0" fontId="0" fillId="0" borderId="51" xfId="0" applyBorder="1"/>
    <xf numFmtId="0" fontId="0" fillId="0" borderId="50" xfId="0" applyBorder="1"/>
    <xf numFmtId="0" fontId="0" fillId="0" borderId="60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165" fontId="0" fillId="0" borderId="60" xfId="1" applyFont="1" applyBorder="1"/>
    <xf numFmtId="165" fontId="0" fillId="0" borderId="50" xfId="1" applyFont="1" applyBorder="1"/>
    <xf numFmtId="0" fontId="56" fillId="0" borderId="48" xfId="0" applyFont="1" applyBorder="1" applyAlignment="1">
      <alignment horizontal="center"/>
    </xf>
    <xf numFmtId="0" fontId="22" fillId="19" borderId="6" xfId="0" applyFont="1" applyFill="1" applyBorder="1" applyAlignment="1">
      <alignment horizontal="center" vertical="top"/>
    </xf>
    <xf numFmtId="0" fontId="22" fillId="20" borderId="6" xfId="0" applyFont="1" applyFill="1" applyBorder="1" applyAlignment="1">
      <alignment horizontal="center" vertical="top"/>
    </xf>
    <xf numFmtId="0" fontId="22" fillId="21" borderId="6" xfId="0" applyFont="1" applyFill="1" applyBorder="1" applyAlignment="1">
      <alignment horizontal="center" vertical="top"/>
    </xf>
    <xf numFmtId="0" fontId="22" fillId="0" borderId="6" xfId="0" applyFont="1" applyBorder="1" applyAlignment="1">
      <alignment horizontal="center" vertical="top"/>
    </xf>
    <xf numFmtId="0" fontId="19" fillId="12" borderId="54" xfId="0" applyFont="1" applyFill="1" applyBorder="1" applyAlignment="1">
      <alignment horizontal="center" vertic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4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6" xfId="0" applyFont="1" applyFill="1" applyBorder="1" applyAlignment="1">
      <alignment horizontal="center" vertical="center"/>
    </xf>
    <xf numFmtId="0" fontId="27" fillId="0" borderId="54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4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4" xfId="3" applyFont="1" applyBorder="1" applyAlignment="1">
      <alignment horizontal="center" vertical="center" wrapText="1"/>
    </xf>
    <xf numFmtId="164" fontId="0" fillId="0" borderId="31" xfId="3" applyFont="1" applyBorder="1"/>
    <xf numFmtId="0" fontId="19" fillId="12" borderId="47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5" fillId="16" borderId="54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4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88" xfId="0" applyFont="1" applyBorder="1" applyAlignment="1">
      <alignment horizontal="center"/>
    </xf>
    <xf numFmtId="0" fontId="2" fillId="0" borderId="98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4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61" fillId="31" borderId="54" xfId="0" applyFont="1" applyFill="1" applyBorder="1" applyAlignment="1">
      <alignment horizontal="center"/>
    </xf>
    <xf numFmtId="0" fontId="61" fillId="31" borderId="30" xfId="0" applyFont="1" applyFill="1" applyBorder="1" applyAlignment="1">
      <alignment horizontal="center"/>
    </xf>
    <xf numFmtId="0" fontId="61" fillId="31" borderId="31" xfId="0" applyFont="1" applyFill="1" applyBorder="1" applyAlignment="1">
      <alignment horizontal="center"/>
    </xf>
    <xf numFmtId="0" fontId="10" fillId="27" borderId="54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4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46" fillId="2" borderId="54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4" fillId="32" borderId="54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10" fillId="30" borderId="54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50" fillId="0" borderId="20" xfId="0" applyFont="1" applyBorder="1" applyAlignment="1">
      <alignment horizontal="center" vertical="center"/>
    </xf>
    <xf numFmtId="0" fontId="50" fillId="0" borderId="35" xfId="0" applyFont="1" applyBorder="1" applyAlignment="1">
      <alignment horizontal="center" vertical="center"/>
    </xf>
    <xf numFmtId="0" fontId="50" fillId="0" borderId="56" xfId="0" applyFont="1" applyBorder="1" applyAlignment="1">
      <alignment horizontal="center" vertical="center"/>
    </xf>
    <xf numFmtId="0" fontId="50" fillId="0" borderId="59" xfId="0" applyFont="1" applyBorder="1" applyAlignment="1">
      <alignment horizontal="center" vertical="center"/>
    </xf>
    <xf numFmtId="0" fontId="50" fillId="0" borderId="0" xfId="0" applyFont="1" applyBorder="1" applyAlignment="1">
      <alignment horizontal="center" vertical="center"/>
    </xf>
    <xf numFmtId="0" fontId="50" fillId="0" borderId="60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56" fillId="0" borderId="20" xfId="0" applyFont="1" applyBorder="1" applyAlignment="1">
      <alignment horizontal="center" vertical="center"/>
    </xf>
    <xf numFmtId="0" fontId="56" fillId="0" borderId="35" xfId="0" applyFont="1" applyBorder="1" applyAlignment="1">
      <alignment horizontal="center" vertical="center"/>
    </xf>
    <xf numFmtId="0" fontId="56" fillId="0" borderId="56" xfId="0" applyFont="1" applyBorder="1" applyAlignment="1">
      <alignment horizontal="center" vertical="center"/>
    </xf>
    <xf numFmtId="0" fontId="56" fillId="0" borderId="59" xfId="0" applyFont="1" applyBorder="1" applyAlignment="1">
      <alignment horizontal="center" vertical="center"/>
    </xf>
    <xf numFmtId="0" fontId="56" fillId="0" borderId="0" xfId="0" applyFont="1" applyBorder="1" applyAlignment="1">
      <alignment horizontal="center" vertical="center"/>
    </xf>
    <xf numFmtId="0" fontId="56" fillId="0" borderId="60" xfId="0" applyFont="1" applyBorder="1" applyAlignment="1">
      <alignment horizontal="center" vertical="center"/>
    </xf>
    <xf numFmtId="0" fontId="2" fillId="28" borderId="57" xfId="0" applyFont="1" applyFill="1" applyBorder="1" applyAlignment="1">
      <alignment horizontal="center" wrapText="1"/>
    </xf>
    <xf numFmtId="0" fontId="2" fillId="28" borderId="97" xfId="0" applyFont="1" applyFill="1" applyBorder="1" applyAlignment="1">
      <alignment horizontal="center" wrapText="1"/>
    </xf>
    <xf numFmtId="0" fontId="37" fillId="11" borderId="54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8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91" xfId="4" applyFont="1" applyFill="1" applyBorder="1" applyAlignment="1">
      <alignment horizontal="center" vertical="center" wrapText="1"/>
    </xf>
    <xf numFmtId="0" fontId="19" fillId="7" borderId="89" xfId="4" applyFont="1" applyFill="1" applyBorder="1" applyAlignment="1">
      <alignment horizontal="center" vertical="center" wrapText="1"/>
    </xf>
    <xf numFmtId="0" fontId="19" fillId="7" borderId="93" xfId="4" applyFont="1" applyFill="1" applyBorder="1" applyAlignment="1">
      <alignment horizontal="center" vertical="center" wrapText="1"/>
    </xf>
    <xf numFmtId="0" fontId="19" fillId="7" borderId="94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8" xfId="4" applyFont="1" applyFill="1" applyBorder="1" applyAlignment="1">
      <alignment horizontal="center" vertical="center" wrapText="1"/>
    </xf>
    <xf numFmtId="0" fontId="19" fillId="7" borderId="79" xfId="4" applyFont="1" applyFill="1" applyBorder="1" applyAlignment="1">
      <alignment horizontal="center" vertical="center" wrapText="1"/>
    </xf>
    <xf numFmtId="0" fontId="19" fillId="7" borderId="80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2" xfId="4" applyFont="1" applyFill="1" applyBorder="1" applyAlignment="1">
      <alignment horizontal="center" vertical="center" wrapText="1"/>
    </xf>
    <xf numFmtId="0" fontId="19" fillId="7" borderId="83" xfId="4" applyFont="1" applyFill="1" applyBorder="1" applyAlignment="1">
      <alignment horizontal="center" vertical="center" wrapText="1"/>
    </xf>
    <xf numFmtId="0" fontId="19" fillId="7" borderId="92" xfId="4" applyFont="1" applyFill="1" applyBorder="1" applyAlignment="1">
      <alignment horizontal="center" vertical="center" wrapText="1"/>
    </xf>
    <xf numFmtId="0" fontId="19" fillId="7" borderId="95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6" fillId="8" borderId="26" xfId="0" applyFont="1" applyFill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6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4" xfId="0" applyFont="1" applyFill="1" applyBorder="1" applyAlignment="1">
      <alignment horizontal="center"/>
    </xf>
    <xf numFmtId="0" fontId="0" fillId="0" borderId="20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52" fillId="0" borderId="0" xfId="0" applyFont="1" applyAlignment="1">
      <alignment horizontal="center"/>
    </xf>
    <xf numFmtId="0" fontId="19" fillId="14" borderId="88" xfId="0" applyFont="1" applyFill="1" applyBorder="1" applyAlignment="1">
      <alignment horizontal="center" vertical="center"/>
    </xf>
    <xf numFmtId="0" fontId="19" fillId="14" borderId="87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4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2125.4799999999996</c:v>
                </c:pt>
                <c:pt idx="1">
                  <c:v>2081.2800000000002</c:v>
                </c:pt>
                <c:pt idx="2">
                  <c:v>2421.29</c:v>
                </c:pt>
                <c:pt idx="3">
                  <c:v>2590.17</c:v>
                </c:pt>
                <c:pt idx="4">
                  <c:v>2694.18</c:v>
                </c:pt>
                <c:pt idx="5">
                  <c:v>2914.3</c:v>
                </c:pt>
                <c:pt idx="6">
                  <c:v>2683.84</c:v>
                </c:pt>
                <c:pt idx="7">
                  <c:v>2232.9499999999998</c:v>
                </c:pt>
                <c:pt idx="8">
                  <c:v>2128.3999999999996</c:v>
                </c:pt>
                <c:pt idx="9">
                  <c:v>1707.85</c:v>
                </c:pt>
                <c:pt idx="10">
                  <c:v>2737.5</c:v>
                </c:pt>
                <c:pt idx="11">
                  <c:v>2538.1400000000003</c:v>
                </c:pt>
                <c:pt idx="12">
                  <c:v>1306.6799999999998</c:v>
                </c:pt>
                <c:pt idx="13">
                  <c:v>1421.46</c:v>
                </c:pt>
                <c:pt idx="14">
                  <c:v>1366.8200000000002</c:v>
                </c:pt>
                <c:pt idx="15">
                  <c:v>1215.42</c:v>
                </c:pt>
                <c:pt idx="16">
                  <c:v>1192.8200000000002</c:v>
                </c:pt>
                <c:pt idx="17">
                  <c:v>1101.77</c:v>
                </c:pt>
                <c:pt idx="18">
                  <c:v>1196.43</c:v>
                </c:pt>
                <c:pt idx="19">
                  <c:v>1103.08</c:v>
                </c:pt>
                <c:pt idx="20">
                  <c:v>927.75</c:v>
                </c:pt>
                <c:pt idx="21">
                  <c:v>1128.43</c:v>
                </c:pt>
                <c:pt idx="22">
                  <c:v>968.5200000000001</c:v>
                </c:pt>
                <c:pt idx="23">
                  <c:v>1052.98</c:v>
                </c:pt>
                <c:pt idx="24">
                  <c:v>1062.08</c:v>
                </c:pt>
                <c:pt idx="25">
                  <c:v>958.21</c:v>
                </c:pt>
                <c:pt idx="26">
                  <c:v>811.26</c:v>
                </c:pt>
                <c:pt idx="27">
                  <c:v>839.53</c:v>
                </c:pt>
                <c:pt idx="28">
                  <c:v>935.36</c:v>
                </c:pt>
                <c:pt idx="29">
                  <c:v>919.91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76367488"/>
        <c:axId val="176369024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17</c:v>
                </c:pt>
                <c:pt idx="1">
                  <c:v>12</c:v>
                </c:pt>
                <c:pt idx="2">
                  <c:v>77</c:v>
                </c:pt>
                <c:pt idx="3">
                  <c:v>77</c:v>
                </c:pt>
                <c:pt idx="4">
                  <c:v>77</c:v>
                </c:pt>
                <c:pt idx="5">
                  <c:v>77</c:v>
                </c:pt>
                <c:pt idx="6">
                  <c:v>46</c:v>
                </c:pt>
                <c:pt idx="7">
                  <c:v>44</c:v>
                </c:pt>
                <c:pt idx="8">
                  <c:v>0</c:v>
                </c:pt>
                <c:pt idx="9">
                  <c:v>0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5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3</c:v>
                </c:pt>
                <c:pt idx="21">
                  <c:v>3</c:v>
                </c:pt>
                <c:pt idx="22">
                  <c:v>2</c:v>
                </c:pt>
                <c:pt idx="23">
                  <c:v>2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76374912"/>
        <c:axId val="176376448"/>
      </c:lineChart>
      <c:catAx>
        <c:axId val="176367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369024"/>
        <c:crosses val="autoZero"/>
        <c:auto val="1"/>
        <c:lblAlgn val="ctr"/>
        <c:lblOffset val="100"/>
      </c:catAx>
      <c:valAx>
        <c:axId val="176369024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367488"/>
        <c:crosses val="autoZero"/>
        <c:crossBetween val="between"/>
        <c:majorUnit val="200"/>
      </c:valAx>
      <c:catAx>
        <c:axId val="176374912"/>
        <c:scaling>
          <c:orientation val="minMax"/>
        </c:scaling>
        <c:delete val="1"/>
        <c:axPos val="b"/>
        <c:tickLblPos val="none"/>
        <c:crossAx val="176376448"/>
        <c:crosses val="autoZero"/>
        <c:auto val="1"/>
        <c:lblAlgn val="ctr"/>
        <c:lblOffset val="100"/>
      </c:catAx>
      <c:valAx>
        <c:axId val="17637644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37491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176406528"/>
        <c:axId val="176408064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176409600"/>
        <c:axId val="176411392"/>
      </c:lineChart>
      <c:catAx>
        <c:axId val="176406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408064"/>
        <c:crosses val="autoZero"/>
        <c:auto val="1"/>
        <c:lblAlgn val="ctr"/>
        <c:lblOffset val="100"/>
      </c:catAx>
      <c:valAx>
        <c:axId val="1764080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406528"/>
        <c:crosses val="autoZero"/>
        <c:crossBetween val="between"/>
        <c:majorUnit val="200"/>
      </c:valAx>
      <c:catAx>
        <c:axId val="176409600"/>
        <c:scaling>
          <c:orientation val="minMax"/>
        </c:scaling>
        <c:delete val="1"/>
        <c:axPos val="b"/>
        <c:tickLblPos val="none"/>
        <c:crossAx val="176411392"/>
        <c:crosses val="autoZero"/>
        <c:auto val="1"/>
        <c:lblAlgn val="ctr"/>
        <c:lblOffset val="100"/>
      </c:catAx>
      <c:valAx>
        <c:axId val="17641139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40960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321.77</c:v>
                </c:pt>
                <c:pt idx="1">
                  <c:v>281.34000000000003</c:v>
                </c:pt>
                <c:pt idx="2">
                  <c:v>2301.79</c:v>
                </c:pt>
                <c:pt idx="3">
                  <c:v>2275.4199999999996</c:v>
                </c:pt>
                <c:pt idx="4">
                  <c:v>2126.1800000000003</c:v>
                </c:pt>
                <c:pt idx="5">
                  <c:v>2496.3200000000002</c:v>
                </c:pt>
                <c:pt idx="6">
                  <c:v>2677.4300000000003</c:v>
                </c:pt>
                <c:pt idx="7">
                  <c:v>3118.58</c:v>
                </c:pt>
                <c:pt idx="8">
                  <c:v>3085.1400000000003</c:v>
                </c:pt>
                <c:pt idx="9">
                  <c:v>2717.7200000000003</c:v>
                </c:pt>
                <c:pt idx="10">
                  <c:v>2437.7199999999998</c:v>
                </c:pt>
                <c:pt idx="11">
                  <c:v>2234.4699999999998</c:v>
                </c:pt>
                <c:pt idx="12">
                  <c:v>1941.6</c:v>
                </c:pt>
                <c:pt idx="13">
                  <c:v>2853.9</c:v>
                </c:pt>
                <c:pt idx="14">
                  <c:v>2826.1000000000004</c:v>
                </c:pt>
                <c:pt idx="15">
                  <c:v>1385.9699999999998</c:v>
                </c:pt>
                <c:pt idx="16">
                  <c:v>1471.88</c:v>
                </c:pt>
                <c:pt idx="17">
                  <c:v>1522.8200000000002</c:v>
                </c:pt>
                <c:pt idx="18">
                  <c:v>1312.43</c:v>
                </c:pt>
                <c:pt idx="19">
                  <c:v>1192.8200000000002</c:v>
                </c:pt>
                <c:pt idx="20">
                  <c:v>1248.9099999999999</c:v>
                </c:pt>
                <c:pt idx="21">
                  <c:v>1196.43</c:v>
                </c:pt>
                <c:pt idx="22">
                  <c:v>1103.08</c:v>
                </c:pt>
                <c:pt idx="23">
                  <c:v>1176.77</c:v>
                </c:pt>
                <c:pt idx="24">
                  <c:v>1142.53</c:v>
                </c:pt>
                <c:pt idx="25">
                  <c:v>1003.0900000000001</c:v>
                </c:pt>
                <c:pt idx="26">
                  <c:v>1197.0999999999999</c:v>
                </c:pt>
                <c:pt idx="27">
                  <c:v>1140.28</c:v>
                </c:pt>
                <c:pt idx="28">
                  <c:v>958.21</c:v>
                </c:pt>
                <c:pt idx="29">
                  <c:v>811.26</c:v>
                </c:pt>
                <c:pt idx="30">
                  <c:v>839.53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176489600"/>
        <c:axId val="176491136"/>
      </c:lineChart>
      <c:catAx>
        <c:axId val="176489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491136"/>
        <c:crosses val="autoZero"/>
        <c:auto val="1"/>
        <c:lblAlgn val="ctr"/>
        <c:lblOffset val="200"/>
        <c:tickLblSkip val="1"/>
      </c:catAx>
      <c:valAx>
        <c:axId val="17649113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489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0.57140000000000002</c:v>
                </c:pt>
                <c:pt idx="1">
                  <c:v>0.2208</c:v>
                </c:pt>
                <c:pt idx="2">
                  <c:v>0.1429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0.59740000000000004</c:v>
                </c:pt>
                <c:pt idx="8">
                  <c:v>0.57140000000000002</c:v>
                </c:pt>
                <c:pt idx="9">
                  <c:v>0.58440000000000003</c:v>
                </c:pt>
                <c:pt idx="10">
                  <c:v>3.9E-2</c:v>
                </c:pt>
                <c:pt idx="11">
                  <c:v>3.9E-2</c:v>
                </c:pt>
                <c:pt idx="12">
                  <c:v>3.9E-2</c:v>
                </c:pt>
                <c:pt idx="13">
                  <c:v>2.86E-2</c:v>
                </c:pt>
                <c:pt idx="14">
                  <c:v>6.4899999999999999E-2</c:v>
                </c:pt>
                <c:pt idx="15">
                  <c:v>5.1900000000000002E-2</c:v>
                </c:pt>
                <c:pt idx="16">
                  <c:v>2.5999999999999999E-2</c:v>
                </c:pt>
                <c:pt idx="17">
                  <c:v>5.1900000000000002E-2</c:v>
                </c:pt>
                <c:pt idx="18">
                  <c:v>0.02</c:v>
                </c:pt>
                <c:pt idx="19">
                  <c:v>0.02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0.02</c:v>
                </c:pt>
                <c:pt idx="24">
                  <c:v>0.02</c:v>
                </c:pt>
                <c:pt idx="25">
                  <c:v>0.02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176503424"/>
        <c:axId val="176521600"/>
      </c:lineChart>
      <c:catAx>
        <c:axId val="1765034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521600"/>
        <c:crosses val="autoZero"/>
        <c:auto val="1"/>
        <c:lblAlgn val="ctr"/>
        <c:lblOffset val="100"/>
      </c:catAx>
      <c:valAx>
        <c:axId val="176521600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503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5649</c:v>
                </c:pt>
                <c:pt idx="3">
                  <c:v>5543</c:v>
                </c:pt>
                <c:pt idx="4">
                  <c:v>4636</c:v>
                </c:pt>
                <c:pt idx="5">
                  <c:v>6200</c:v>
                </c:pt>
                <c:pt idx="6">
                  <c:v>6603</c:v>
                </c:pt>
                <c:pt idx="7">
                  <c:v>6820</c:v>
                </c:pt>
                <c:pt idx="8">
                  <c:v>7352</c:v>
                </c:pt>
                <c:pt idx="9">
                  <c:v>6190</c:v>
                </c:pt>
                <c:pt idx="10">
                  <c:v>4387</c:v>
                </c:pt>
                <c:pt idx="11">
                  <c:v>5593</c:v>
                </c:pt>
                <c:pt idx="12">
                  <c:v>4641</c:v>
                </c:pt>
                <c:pt idx="13">
                  <c:v>4209</c:v>
                </c:pt>
                <c:pt idx="14">
                  <c:v>3918</c:v>
                </c:pt>
                <c:pt idx="15">
                  <c:v>3497</c:v>
                </c:pt>
                <c:pt idx="16">
                  <c:v>3584</c:v>
                </c:pt>
                <c:pt idx="17">
                  <c:v>3345</c:v>
                </c:pt>
                <c:pt idx="18">
                  <c:v>3067</c:v>
                </c:pt>
                <c:pt idx="19">
                  <c:v>2970</c:v>
                </c:pt>
                <c:pt idx="20">
                  <c:v>2841</c:v>
                </c:pt>
                <c:pt idx="21">
                  <c:v>2962</c:v>
                </c:pt>
                <c:pt idx="22">
                  <c:v>2667</c:v>
                </c:pt>
                <c:pt idx="23">
                  <c:v>2379</c:v>
                </c:pt>
                <c:pt idx="24">
                  <c:v>2523</c:v>
                </c:pt>
                <c:pt idx="25">
                  <c:v>2586</c:v>
                </c:pt>
                <c:pt idx="26">
                  <c:v>2334</c:v>
                </c:pt>
                <c:pt idx="27">
                  <c:v>2348</c:v>
                </c:pt>
                <c:pt idx="28">
                  <c:v>2205</c:v>
                </c:pt>
                <c:pt idx="29">
                  <c:v>1991</c:v>
                </c:pt>
                <c:pt idx="30">
                  <c:v>1988</c:v>
                </c:pt>
                <c:pt idx="31">
                  <c:v>2056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178168192"/>
        <c:axId val="178170112"/>
      </c:lineChart>
      <c:catAx>
        <c:axId val="17816819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170112"/>
        <c:crosses val="autoZero"/>
        <c:auto val="1"/>
        <c:lblAlgn val="ctr"/>
        <c:lblOffset val="100"/>
      </c:catAx>
      <c:valAx>
        <c:axId val="17817011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16819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146</c:v>
                </c:pt>
                <c:pt idx="1">
                  <c:v>164</c:v>
                </c:pt>
                <c:pt idx="2">
                  <c:v>164</c:v>
                </c:pt>
                <c:pt idx="3">
                  <c:v>163</c:v>
                </c:pt>
                <c:pt idx="4">
                  <c:v>177</c:v>
                </c:pt>
                <c:pt idx="5">
                  <c:v>191</c:v>
                </c:pt>
                <c:pt idx="6">
                  <c:v>168</c:v>
                </c:pt>
                <c:pt idx="7">
                  <c:v>131</c:v>
                </c:pt>
                <c:pt idx="8">
                  <c:v>117</c:v>
                </c:pt>
                <c:pt idx="9">
                  <c:v>129</c:v>
                </c:pt>
                <c:pt idx="10">
                  <c:v>99</c:v>
                </c:pt>
                <c:pt idx="11">
                  <c:v>77</c:v>
                </c:pt>
                <c:pt idx="12">
                  <c:v>69</c:v>
                </c:pt>
                <c:pt idx="13">
                  <c:v>72</c:v>
                </c:pt>
                <c:pt idx="14">
                  <c:v>92</c:v>
                </c:pt>
                <c:pt idx="15">
                  <c:v>90</c:v>
                </c:pt>
                <c:pt idx="16">
                  <c:v>72</c:v>
                </c:pt>
                <c:pt idx="17">
                  <c:v>57</c:v>
                </c:pt>
                <c:pt idx="18">
                  <c:v>72</c:v>
                </c:pt>
                <c:pt idx="19">
                  <c:v>65</c:v>
                </c:pt>
                <c:pt idx="20">
                  <c:v>67</c:v>
                </c:pt>
                <c:pt idx="21">
                  <c:v>73</c:v>
                </c:pt>
                <c:pt idx="22">
                  <c:v>67</c:v>
                </c:pt>
                <c:pt idx="23">
                  <c:v>73</c:v>
                </c:pt>
                <c:pt idx="24">
                  <c:v>60</c:v>
                </c:pt>
                <c:pt idx="25">
                  <c:v>50</c:v>
                </c:pt>
                <c:pt idx="26">
                  <c:v>96</c:v>
                </c:pt>
                <c:pt idx="27">
                  <c:v>32</c:v>
                </c:pt>
                <c:pt idx="28">
                  <c:v>38</c:v>
                </c:pt>
                <c:pt idx="29">
                  <c:v>46</c:v>
                </c:pt>
                <c:pt idx="30">
                  <c:v>64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178182784"/>
        <c:axId val="178414336"/>
      </c:lineChart>
      <c:catAx>
        <c:axId val="17818278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414336"/>
        <c:crosses val="autoZero"/>
        <c:auto val="1"/>
        <c:lblAlgn val="ctr"/>
        <c:lblOffset val="100"/>
      </c:catAx>
      <c:valAx>
        <c:axId val="17841433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18278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123.06800000000513</c:v>
                </c:pt>
                <c:pt idx="1">
                  <c:v>166.27599999997184</c:v>
                </c:pt>
                <c:pt idx="2">
                  <c:v>108.59200000003331</c:v>
                </c:pt>
                <c:pt idx="3">
                  <c:v>105.60000000000001</c:v>
                </c:pt>
                <c:pt idx="4">
                  <c:v>103.83999999996159</c:v>
                </c:pt>
                <c:pt idx="5">
                  <c:v>87.340000000025611</c:v>
                </c:pt>
                <c:pt idx="6">
                  <c:v>104.98400000000257</c:v>
                </c:pt>
                <c:pt idx="7">
                  <c:v>123.7720000000205</c:v>
                </c:pt>
                <c:pt idx="8">
                  <c:v>99.263999999989764</c:v>
                </c:pt>
                <c:pt idx="9">
                  <c:v>104.54399999997696</c:v>
                </c:pt>
                <c:pt idx="10">
                  <c:v>103.26800000000513</c:v>
                </c:pt>
                <c:pt idx="11">
                  <c:v>84.611999999982075</c:v>
                </c:pt>
                <c:pt idx="12">
                  <c:v>102.08000000005123</c:v>
                </c:pt>
                <c:pt idx="13">
                  <c:v>89.319999999948791</c:v>
                </c:pt>
                <c:pt idx="14">
                  <c:v>173.62400000002819</c:v>
                </c:pt>
                <c:pt idx="15">
                  <c:v>84.7</c:v>
                </c:pt>
                <c:pt idx="16">
                  <c:v>80.036000000010247</c:v>
                </c:pt>
                <c:pt idx="17">
                  <c:v>79.68400000000257</c:v>
                </c:pt>
                <c:pt idx="18">
                  <c:v>68.595999999984642</c:v>
                </c:pt>
                <c:pt idx="19">
                  <c:v>81.268000000005131</c:v>
                </c:pt>
                <c:pt idx="20">
                  <c:v>48.707999999966709</c:v>
                </c:pt>
                <c:pt idx="21">
                  <c:v>47.344000000040985</c:v>
                </c:pt>
                <c:pt idx="22">
                  <c:v>62.391999999969272</c:v>
                </c:pt>
                <c:pt idx="23">
                  <c:v>59.663999999989763</c:v>
                </c:pt>
                <c:pt idx="24">
                  <c:v>32.120000000012809</c:v>
                </c:pt>
                <c:pt idx="25">
                  <c:v>73.040000000025614</c:v>
                </c:pt>
                <c:pt idx="26">
                  <c:v>29.436000000010246</c:v>
                </c:pt>
                <c:pt idx="27">
                  <c:v>25.079999999987198</c:v>
                </c:pt>
                <c:pt idx="28">
                  <c:v>24.947999999992319</c:v>
                </c:pt>
                <c:pt idx="29">
                  <c:v>27.059999999974391</c:v>
                </c:pt>
                <c:pt idx="30">
                  <c:v>23.364000000053785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178439296"/>
        <c:axId val="178440832"/>
      </c:lineChart>
      <c:catAx>
        <c:axId val="178439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440832"/>
        <c:crosses val="autoZero"/>
        <c:auto val="1"/>
        <c:lblAlgn val="ctr"/>
        <c:lblOffset val="100"/>
      </c:catAx>
      <c:valAx>
        <c:axId val="17844083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439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179252608"/>
        <c:axId val="179266688"/>
      </c:lineChart>
      <c:catAx>
        <c:axId val="1792526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266688"/>
        <c:crosses val="autoZero"/>
        <c:auto val="1"/>
        <c:lblAlgn val="ctr"/>
        <c:lblOffset val="100"/>
      </c:catAx>
      <c:valAx>
        <c:axId val="1792666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252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2246.69</c:v>
                </c:pt>
                <c:pt idx="3">
                  <c:v>2125.4799999999996</c:v>
                </c:pt>
                <c:pt idx="4">
                  <c:v>2081.2800000000002</c:v>
                </c:pt>
                <c:pt idx="5">
                  <c:v>2421.29</c:v>
                </c:pt>
                <c:pt idx="6">
                  <c:v>2590.17</c:v>
                </c:pt>
                <c:pt idx="7">
                  <c:v>2694.18</c:v>
                </c:pt>
                <c:pt idx="8">
                  <c:v>2914.3</c:v>
                </c:pt>
                <c:pt idx="9">
                  <c:v>2683.84</c:v>
                </c:pt>
                <c:pt idx="10">
                  <c:v>2232.9499999999998</c:v>
                </c:pt>
                <c:pt idx="11">
                  <c:v>2128.3999999999996</c:v>
                </c:pt>
                <c:pt idx="12">
                  <c:v>1707.85</c:v>
                </c:pt>
                <c:pt idx="13">
                  <c:v>2737.5</c:v>
                </c:pt>
                <c:pt idx="14">
                  <c:v>2538.1400000000003</c:v>
                </c:pt>
                <c:pt idx="15">
                  <c:v>1306.6799999999998</c:v>
                </c:pt>
                <c:pt idx="16">
                  <c:v>1421.46</c:v>
                </c:pt>
                <c:pt idx="17">
                  <c:v>1366.8200000000002</c:v>
                </c:pt>
                <c:pt idx="18">
                  <c:v>1215.42</c:v>
                </c:pt>
                <c:pt idx="19">
                  <c:v>1192.8200000000002</c:v>
                </c:pt>
                <c:pt idx="20">
                  <c:v>1101.77</c:v>
                </c:pt>
                <c:pt idx="21">
                  <c:v>1196.43</c:v>
                </c:pt>
                <c:pt idx="22">
                  <c:v>1103.08</c:v>
                </c:pt>
                <c:pt idx="23">
                  <c:v>927.75</c:v>
                </c:pt>
                <c:pt idx="24">
                  <c:v>1128.43</c:v>
                </c:pt>
                <c:pt idx="25">
                  <c:v>968.5200000000001</c:v>
                </c:pt>
                <c:pt idx="26">
                  <c:v>1052.98</c:v>
                </c:pt>
                <c:pt idx="27">
                  <c:v>1062.08</c:v>
                </c:pt>
                <c:pt idx="28">
                  <c:v>958.21</c:v>
                </c:pt>
                <c:pt idx="29">
                  <c:v>811.26</c:v>
                </c:pt>
                <c:pt idx="30">
                  <c:v>839.53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177476352"/>
        <c:axId val="177477888"/>
      </c:lineChart>
      <c:catAx>
        <c:axId val="177476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477888"/>
        <c:crosses val="autoZero"/>
        <c:auto val="1"/>
        <c:lblAlgn val="ctr"/>
        <c:lblOffset val="100"/>
      </c:catAx>
      <c:valAx>
        <c:axId val="1774778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476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69776"/>
          <c:y val="7.4713247051106699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177522944"/>
        <c:axId val="177528832"/>
      </c:lineChart>
      <c:catAx>
        <c:axId val="177522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528832"/>
        <c:crosses val="autoZero"/>
        <c:auto val="1"/>
        <c:lblAlgn val="ctr"/>
        <c:lblOffset val="200"/>
        <c:tickLblSkip val="1"/>
      </c:catAx>
      <c:valAx>
        <c:axId val="17752883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522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179593216"/>
        <c:axId val="179594752"/>
      </c:lineChart>
      <c:catAx>
        <c:axId val="179593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594752"/>
        <c:crosses val="autoZero"/>
        <c:auto val="1"/>
        <c:lblAlgn val="ctr"/>
        <c:lblOffset val="100"/>
      </c:catAx>
      <c:valAx>
        <c:axId val="1795947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593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179983872"/>
        <c:axId val="179985792"/>
      </c:lineChart>
      <c:catAx>
        <c:axId val="1799838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985792"/>
        <c:crosses val="autoZero"/>
        <c:auto val="1"/>
        <c:lblAlgn val="ctr"/>
        <c:lblOffset val="100"/>
      </c:catAx>
      <c:valAx>
        <c:axId val="17998579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98387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180023296"/>
        <c:axId val="180025216"/>
      </c:lineChart>
      <c:catAx>
        <c:axId val="18002329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025216"/>
        <c:crosses val="autoZero"/>
        <c:auto val="1"/>
        <c:lblAlgn val="ctr"/>
        <c:lblOffset val="100"/>
      </c:catAx>
      <c:valAx>
        <c:axId val="18002521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02329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179783936"/>
        <c:axId val="179818496"/>
      </c:lineChart>
      <c:catAx>
        <c:axId val="1797839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818496"/>
        <c:crosses val="autoZero"/>
        <c:auto val="1"/>
        <c:lblAlgn val="ctr"/>
        <c:lblOffset val="100"/>
      </c:catAx>
      <c:valAx>
        <c:axId val="1798184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783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180495104"/>
        <c:axId val="180496640"/>
      </c:lineChart>
      <c:catAx>
        <c:axId val="180495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496640"/>
        <c:crosses val="autoZero"/>
        <c:auto val="1"/>
        <c:lblAlgn val="ctr"/>
        <c:lblOffset val="100"/>
      </c:catAx>
      <c:valAx>
        <c:axId val="1804966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495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180524928"/>
        <c:axId val="180526464"/>
      </c:lineChart>
      <c:catAx>
        <c:axId val="180524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526464"/>
        <c:crosses val="autoZero"/>
        <c:auto val="1"/>
        <c:lblAlgn val="ctr"/>
        <c:lblOffset val="100"/>
      </c:catAx>
      <c:valAx>
        <c:axId val="1805264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524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0076"/>
          <c:y val="7.4713247051107087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43891</c:v>
                </c:pt>
                <c:pt idx="1">
                  <c:v>43892</c:v>
                </c:pt>
                <c:pt idx="2">
                  <c:v>43893</c:v>
                </c:pt>
                <c:pt idx="3">
                  <c:v>43894</c:v>
                </c:pt>
                <c:pt idx="4">
                  <c:v>43895</c:v>
                </c:pt>
                <c:pt idx="5">
                  <c:v>43896</c:v>
                </c:pt>
                <c:pt idx="6">
                  <c:v>43897</c:v>
                </c:pt>
                <c:pt idx="7">
                  <c:v>43898</c:v>
                </c:pt>
                <c:pt idx="8">
                  <c:v>43899</c:v>
                </c:pt>
                <c:pt idx="9">
                  <c:v>43900</c:v>
                </c:pt>
                <c:pt idx="10">
                  <c:v>43901</c:v>
                </c:pt>
                <c:pt idx="11">
                  <c:v>43902</c:v>
                </c:pt>
                <c:pt idx="12">
                  <c:v>43903</c:v>
                </c:pt>
                <c:pt idx="13">
                  <c:v>43904</c:v>
                </c:pt>
                <c:pt idx="14">
                  <c:v>43905</c:v>
                </c:pt>
                <c:pt idx="15">
                  <c:v>43906</c:v>
                </c:pt>
                <c:pt idx="16">
                  <c:v>43907</c:v>
                </c:pt>
                <c:pt idx="17">
                  <c:v>43908</c:v>
                </c:pt>
                <c:pt idx="18">
                  <c:v>43909</c:v>
                </c:pt>
                <c:pt idx="19">
                  <c:v>43910</c:v>
                </c:pt>
                <c:pt idx="20">
                  <c:v>43911</c:v>
                </c:pt>
                <c:pt idx="21">
                  <c:v>43912</c:v>
                </c:pt>
                <c:pt idx="22">
                  <c:v>43913</c:v>
                </c:pt>
                <c:pt idx="23">
                  <c:v>43914</c:v>
                </c:pt>
                <c:pt idx="24">
                  <c:v>43915</c:v>
                </c:pt>
                <c:pt idx="25">
                  <c:v>43916</c:v>
                </c:pt>
                <c:pt idx="26">
                  <c:v>43917</c:v>
                </c:pt>
                <c:pt idx="27">
                  <c:v>43918</c:v>
                </c:pt>
                <c:pt idx="28">
                  <c:v>43919</c:v>
                </c:pt>
                <c:pt idx="29">
                  <c:v>43920</c:v>
                </c:pt>
                <c:pt idx="30">
                  <c:v>43921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181026176"/>
        <c:axId val="181044352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43891</c:v>
                </c:pt>
                <c:pt idx="1">
                  <c:v>43892</c:v>
                </c:pt>
                <c:pt idx="2">
                  <c:v>43893</c:v>
                </c:pt>
                <c:pt idx="3">
                  <c:v>43894</c:v>
                </c:pt>
                <c:pt idx="4">
                  <c:v>43895</c:v>
                </c:pt>
                <c:pt idx="5">
                  <c:v>43896</c:v>
                </c:pt>
                <c:pt idx="6">
                  <c:v>43897</c:v>
                </c:pt>
                <c:pt idx="7">
                  <c:v>43898</c:v>
                </c:pt>
                <c:pt idx="8">
                  <c:v>43899</c:v>
                </c:pt>
                <c:pt idx="9">
                  <c:v>43900</c:v>
                </c:pt>
                <c:pt idx="10">
                  <c:v>43901</c:v>
                </c:pt>
                <c:pt idx="11">
                  <c:v>43902</c:v>
                </c:pt>
                <c:pt idx="12">
                  <c:v>43903</c:v>
                </c:pt>
                <c:pt idx="13">
                  <c:v>43904</c:v>
                </c:pt>
                <c:pt idx="14">
                  <c:v>43905</c:v>
                </c:pt>
                <c:pt idx="15">
                  <c:v>43906</c:v>
                </c:pt>
                <c:pt idx="16">
                  <c:v>43907</c:v>
                </c:pt>
                <c:pt idx="17">
                  <c:v>43908</c:v>
                </c:pt>
                <c:pt idx="18">
                  <c:v>43909</c:v>
                </c:pt>
                <c:pt idx="19">
                  <c:v>43910</c:v>
                </c:pt>
                <c:pt idx="20">
                  <c:v>43911</c:v>
                </c:pt>
                <c:pt idx="21">
                  <c:v>43912</c:v>
                </c:pt>
                <c:pt idx="22">
                  <c:v>43913</c:v>
                </c:pt>
                <c:pt idx="23">
                  <c:v>43914</c:v>
                </c:pt>
                <c:pt idx="24">
                  <c:v>43915</c:v>
                </c:pt>
                <c:pt idx="25">
                  <c:v>43916</c:v>
                </c:pt>
                <c:pt idx="26">
                  <c:v>43917</c:v>
                </c:pt>
                <c:pt idx="27">
                  <c:v>43918</c:v>
                </c:pt>
                <c:pt idx="28">
                  <c:v>43919</c:v>
                </c:pt>
                <c:pt idx="29">
                  <c:v>43920</c:v>
                </c:pt>
                <c:pt idx="30">
                  <c:v>43921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181045888"/>
        <c:axId val="181047680"/>
      </c:lineChart>
      <c:catAx>
        <c:axId val="181026176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1044352"/>
        <c:crosses val="autoZero"/>
        <c:lblAlgn val="ctr"/>
        <c:lblOffset val="100"/>
        <c:tickMarkSkip val="1"/>
      </c:catAx>
      <c:valAx>
        <c:axId val="18104435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1026176"/>
        <c:crosses val="autoZero"/>
        <c:crossBetween val="between"/>
      </c:valAx>
      <c:catAx>
        <c:axId val="181045888"/>
        <c:scaling>
          <c:orientation val="minMax"/>
        </c:scaling>
        <c:delete val="1"/>
        <c:axPos val="b"/>
        <c:numFmt formatCode="[$-409]d\-mmm\-yy;@" sourceLinked="1"/>
        <c:tickLblPos val="none"/>
        <c:crossAx val="181047680"/>
        <c:crosses val="autoZero"/>
        <c:lblAlgn val="ctr"/>
        <c:lblOffset val="100"/>
      </c:catAx>
      <c:valAx>
        <c:axId val="181047680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104588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182350208"/>
        <c:axId val="182351744"/>
      </c:lineChart>
      <c:catAx>
        <c:axId val="182350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351744"/>
        <c:crosses val="autoZero"/>
        <c:auto val="1"/>
        <c:lblAlgn val="ctr"/>
        <c:lblOffset val="100"/>
      </c:catAx>
      <c:valAx>
        <c:axId val="182351744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350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49903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182380416"/>
        <c:axId val="182381952"/>
      </c:lineChart>
      <c:catAx>
        <c:axId val="182380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381952"/>
        <c:crosses val="autoZero"/>
        <c:auto val="1"/>
        <c:lblAlgn val="ctr"/>
        <c:lblOffset val="100"/>
      </c:catAx>
      <c:valAx>
        <c:axId val="182381952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380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183084928"/>
        <c:axId val="183086464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183092352"/>
        <c:axId val="183093888"/>
      </c:lineChart>
      <c:catAx>
        <c:axId val="18308492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086464"/>
        <c:crosses val="autoZero"/>
        <c:lblAlgn val="ctr"/>
        <c:lblOffset val="100"/>
        <c:tickMarkSkip val="1"/>
      </c:catAx>
      <c:valAx>
        <c:axId val="1830864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084928"/>
        <c:crosses val="autoZero"/>
        <c:crossBetween val="between"/>
      </c:valAx>
      <c:catAx>
        <c:axId val="183092352"/>
        <c:scaling>
          <c:orientation val="minMax"/>
        </c:scaling>
        <c:delete val="1"/>
        <c:axPos val="b"/>
        <c:numFmt formatCode="General" sourceLinked="1"/>
        <c:tickLblPos val="none"/>
        <c:crossAx val="183093888"/>
        <c:crosses val="autoZero"/>
        <c:lblAlgn val="ctr"/>
        <c:lblOffset val="100"/>
      </c:catAx>
      <c:valAx>
        <c:axId val="18309388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09235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183388416"/>
        <c:axId val="183414784"/>
      </c:lineChart>
      <c:catAx>
        <c:axId val="183388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414784"/>
        <c:crosses val="autoZero"/>
        <c:auto val="1"/>
        <c:lblAlgn val="ctr"/>
        <c:lblOffset val="100"/>
      </c:catAx>
      <c:valAx>
        <c:axId val="1834147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388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49986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501022720"/>
        <c:axId val="501024256"/>
      </c:lineChart>
      <c:catAx>
        <c:axId val="501022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01024256"/>
        <c:crosses val="autoZero"/>
        <c:auto val="1"/>
        <c:lblAlgn val="ctr"/>
        <c:lblOffset val="100"/>
      </c:catAx>
      <c:valAx>
        <c:axId val="5010242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01022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502994816"/>
        <c:axId val="502996352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503010432"/>
        <c:axId val="503011968"/>
      </c:lineChart>
      <c:catAx>
        <c:axId val="502994816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02996352"/>
        <c:crosses val="autoZero"/>
        <c:lblAlgn val="ctr"/>
        <c:lblOffset val="100"/>
        <c:tickMarkSkip val="1"/>
      </c:catAx>
      <c:valAx>
        <c:axId val="50299635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02994816"/>
        <c:crosses val="autoZero"/>
        <c:crossBetween val="between"/>
      </c:valAx>
      <c:catAx>
        <c:axId val="503010432"/>
        <c:scaling>
          <c:orientation val="minMax"/>
        </c:scaling>
        <c:delete val="1"/>
        <c:axPos val="b"/>
        <c:numFmt formatCode="[$-409]d\-mmm\-yy;@" sourceLinked="1"/>
        <c:tickLblPos val="none"/>
        <c:crossAx val="503011968"/>
        <c:crosses val="autoZero"/>
        <c:lblAlgn val="ctr"/>
        <c:lblOffset val="100"/>
      </c:catAx>
      <c:valAx>
        <c:axId val="503011968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0301043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504111488"/>
        <c:axId val="504113024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504114560"/>
        <c:axId val="504116352"/>
      </c:lineChart>
      <c:catAx>
        <c:axId val="50411148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04113024"/>
        <c:crosses val="autoZero"/>
        <c:lblAlgn val="ctr"/>
        <c:lblOffset val="100"/>
        <c:tickMarkSkip val="1"/>
      </c:catAx>
      <c:valAx>
        <c:axId val="5041130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04111488"/>
        <c:crosses val="autoZero"/>
        <c:crossBetween val="between"/>
      </c:valAx>
      <c:catAx>
        <c:axId val="504114560"/>
        <c:scaling>
          <c:orientation val="minMax"/>
        </c:scaling>
        <c:delete val="1"/>
        <c:axPos val="b"/>
        <c:numFmt formatCode="General" sourceLinked="1"/>
        <c:tickLblPos val="none"/>
        <c:crossAx val="504116352"/>
        <c:crosses val="autoZero"/>
        <c:lblAlgn val="ctr"/>
        <c:lblOffset val="100"/>
      </c:catAx>
      <c:valAx>
        <c:axId val="50411635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0411456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80915584"/>
        <c:axId val="180925568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80927104"/>
        <c:axId val="180928896"/>
      </c:lineChart>
      <c:catAx>
        <c:axId val="18091558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925568"/>
        <c:crosses val="autoZero"/>
        <c:lblAlgn val="ctr"/>
        <c:lblOffset val="100"/>
        <c:tickMarkSkip val="1"/>
      </c:catAx>
      <c:valAx>
        <c:axId val="18092556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915584"/>
        <c:crosses val="autoZero"/>
        <c:crossBetween val="between"/>
      </c:valAx>
      <c:catAx>
        <c:axId val="180927104"/>
        <c:scaling>
          <c:orientation val="minMax"/>
        </c:scaling>
        <c:delete val="1"/>
        <c:axPos val="b"/>
        <c:numFmt formatCode="[$-409]d\-mmm\-yy;@" sourceLinked="1"/>
        <c:tickLblPos val="none"/>
        <c:crossAx val="180928896"/>
        <c:crosses val="autoZero"/>
        <c:lblAlgn val="ctr"/>
        <c:lblOffset val="100"/>
      </c:catAx>
      <c:valAx>
        <c:axId val="180928896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92710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505624448"/>
        <c:axId val="505625984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505635968"/>
        <c:axId val="505637504"/>
      </c:lineChart>
      <c:catAx>
        <c:axId val="50562444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05625984"/>
        <c:crosses val="autoZero"/>
        <c:lblAlgn val="ctr"/>
        <c:lblOffset val="100"/>
        <c:tickMarkSkip val="1"/>
      </c:catAx>
      <c:valAx>
        <c:axId val="5056259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05624448"/>
        <c:crosses val="autoZero"/>
        <c:crossBetween val="between"/>
      </c:valAx>
      <c:catAx>
        <c:axId val="505635968"/>
        <c:scaling>
          <c:orientation val="minMax"/>
        </c:scaling>
        <c:delete val="1"/>
        <c:axPos val="b"/>
        <c:numFmt formatCode="General" sourceLinked="1"/>
        <c:tickLblPos val="none"/>
        <c:crossAx val="505637504"/>
        <c:crosses val="autoZero"/>
        <c:lblAlgn val="ctr"/>
        <c:lblOffset val="100"/>
      </c:catAx>
      <c:valAx>
        <c:axId val="50563750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0563596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5649</c:v>
                </c:pt>
                <c:pt idx="3">
                  <c:v>5543</c:v>
                </c:pt>
                <c:pt idx="4">
                  <c:v>4636</c:v>
                </c:pt>
                <c:pt idx="5">
                  <c:v>6200</c:v>
                </c:pt>
                <c:pt idx="6">
                  <c:v>6603</c:v>
                </c:pt>
                <c:pt idx="7">
                  <c:v>6820</c:v>
                </c:pt>
                <c:pt idx="8">
                  <c:v>7352</c:v>
                </c:pt>
                <c:pt idx="9">
                  <c:v>6190</c:v>
                </c:pt>
                <c:pt idx="10">
                  <c:v>4387</c:v>
                </c:pt>
                <c:pt idx="11">
                  <c:v>5593</c:v>
                </c:pt>
                <c:pt idx="12">
                  <c:v>4641</c:v>
                </c:pt>
                <c:pt idx="13">
                  <c:v>4209</c:v>
                </c:pt>
                <c:pt idx="14">
                  <c:v>3918</c:v>
                </c:pt>
                <c:pt idx="15">
                  <c:v>3497</c:v>
                </c:pt>
                <c:pt idx="16">
                  <c:v>3584</c:v>
                </c:pt>
                <c:pt idx="17">
                  <c:v>3345</c:v>
                </c:pt>
                <c:pt idx="18">
                  <c:v>3067</c:v>
                </c:pt>
                <c:pt idx="19">
                  <c:v>2970</c:v>
                </c:pt>
                <c:pt idx="20">
                  <c:v>2841</c:v>
                </c:pt>
                <c:pt idx="21">
                  <c:v>2962</c:v>
                </c:pt>
                <c:pt idx="22">
                  <c:v>2667</c:v>
                </c:pt>
                <c:pt idx="23">
                  <c:v>2379</c:v>
                </c:pt>
                <c:pt idx="24">
                  <c:v>2523</c:v>
                </c:pt>
                <c:pt idx="25">
                  <c:v>2586</c:v>
                </c:pt>
                <c:pt idx="26">
                  <c:v>2334</c:v>
                </c:pt>
                <c:pt idx="27">
                  <c:v>2348</c:v>
                </c:pt>
                <c:pt idx="28">
                  <c:v>2205</c:v>
                </c:pt>
                <c:pt idx="29">
                  <c:v>1991</c:v>
                </c:pt>
                <c:pt idx="30">
                  <c:v>1988</c:v>
                </c:pt>
                <c:pt idx="31">
                  <c:v>2056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505854976"/>
        <c:axId val="505918592"/>
      </c:lineChart>
      <c:catAx>
        <c:axId val="5058549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05918592"/>
        <c:crosses val="autoZero"/>
        <c:auto val="1"/>
        <c:lblAlgn val="ctr"/>
        <c:lblOffset val="100"/>
      </c:catAx>
      <c:valAx>
        <c:axId val="50591859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0585497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146</c:v>
                </c:pt>
                <c:pt idx="1">
                  <c:v>164</c:v>
                </c:pt>
                <c:pt idx="2">
                  <c:v>164</c:v>
                </c:pt>
                <c:pt idx="3">
                  <c:v>163</c:v>
                </c:pt>
                <c:pt idx="4">
                  <c:v>177</c:v>
                </c:pt>
                <c:pt idx="5">
                  <c:v>191</c:v>
                </c:pt>
                <c:pt idx="6">
                  <c:v>168</c:v>
                </c:pt>
                <c:pt idx="7">
                  <c:v>131</c:v>
                </c:pt>
                <c:pt idx="8">
                  <c:v>117</c:v>
                </c:pt>
                <c:pt idx="9">
                  <c:v>129</c:v>
                </c:pt>
                <c:pt idx="10">
                  <c:v>99</c:v>
                </c:pt>
                <c:pt idx="11">
                  <c:v>77</c:v>
                </c:pt>
                <c:pt idx="12">
                  <c:v>69</c:v>
                </c:pt>
                <c:pt idx="13">
                  <c:v>72</c:v>
                </c:pt>
                <c:pt idx="14">
                  <c:v>92</c:v>
                </c:pt>
                <c:pt idx="15">
                  <c:v>90</c:v>
                </c:pt>
                <c:pt idx="16">
                  <c:v>72</c:v>
                </c:pt>
                <c:pt idx="17">
                  <c:v>57</c:v>
                </c:pt>
                <c:pt idx="18">
                  <c:v>72</c:v>
                </c:pt>
                <c:pt idx="19">
                  <c:v>65</c:v>
                </c:pt>
                <c:pt idx="20">
                  <c:v>67</c:v>
                </c:pt>
                <c:pt idx="21">
                  <c:v>73</c:v>
                </c:pt>
                <c:pt idx="22">
                  <c:v>67</c:v>
                </c:pt>
                <c:pt idx="23">
                  <c:v>73</c:v>
                </c:pt>
                <c:pt idx="24">
                  <c:v>60</c:v>
                </c:pt>
                <c:pt idx="25">
                  <c:v>50</c:v>
                </c:pt>
                <c:pt idx="26">
                  <c:v>96</c:v>
                </c:pt>
                <c:pt idx="27">
                  <c:v>32</c:v>
                </c:pt>
                <c:pt idx="28">
                  <c:v>38</c:v>
                </c:pt>
                <c:pt idx="29">
                  <c:v>46</c:v>
                </c:pt>
                <c:pt idx="30">
                  <c:v>64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506074624"/>
        <c:axId val="506076544"/>
      </c:lineChart>
      <c:catAx>
        <c:axId val="50607462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06076544"/>
        <c:crosses val="autoZero"/>
        <c:auto val="1"/>
        <c:lblAlgn val="ctr"/>
        <c:lblOffset val="100"/>
      </c:catAx>
      <c:valAx>
        <c:axId val="50607654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0607462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321.77</c:v>
                </c:pt>
                <c:pt idx="1">
                  <c:v>281.34000000000003</c:v>
                </c:pt>
                <c:pt idx="2">
                  <c:v>2301.79</c:v>
                </c:pt>
                <c:pt idx="3">
                  <c:v>2275.4199999999996</c:v>
                </c:pt>
                <c:pt idx="4">
                  <c:v>2126.1800000000003</c:v>
                </c:pt>
                <c:pt idx="5">
                  <c:v>2496.3200000000002</c:v>
                </c:pt>
                <c:pt idx="6">
                  <c:v>2677.4300000000003</c:v>
                </c:pt>
                <c:pt idx="7">
                  <c:v>3118.58</c:v>
                </c:pt>
                <c:pt idx="8">
                  <c:v>3085.1400000000003</c:v>
                </c:pt>
                <c:pt idx="9">
                  <c:v>2717.7200000000003</c:v>
                </c:pt>
                <c:pt idx="10">
                  <c:v>2437.7199999999998</c:v>
                </c:pt>
                <c:pt idx="11">
                  <c:v>2234.4699999999998</c:v>
                </c:pt>
                <c:pt idx="12">
                  <c:v>1941.6</c:v>
                </c:pt>
                <c:pt idx="13">
                  <c:v>2853.9</c:v>
                </c:pt>
                <c:pt idx="14">
                  <c:v>2826.1000000000004</c:v>
                </c:pt>
                <c:pt idx="15">
                  <c:v>1385.9699999999998</c:v>
                </c:pt>
                <c:pt idx="16">
                  <c:v>1471.88</c:v>
                </c:pt>
                <c:pt idx="17">
                  <c:v>1522.8200000000002</c:v>
                </c:pt>
                <c:pt idx="18">
                  <c:v>1312.43</c:v>
                </c:pt>
                <c:pt idx="19">
                  <c:v>1192.8200000000002</c:v>
                </c:pt>
                <c:pt idx="20">
                  <c:v>1248.9099999999999</c:v>
                </c:pt>
                <c:pt idx="21">
                  <c:v>1196.43</c:v>
                </c:pt>
                <c:pt idx="22">
                  <c:v>1103.08</c:v>
                </c:pt>
                <c:pt idx="23">
                  <c:v>1176.77</c:v>
                </c:pt>
                <c:pt idx="24">
                  <c:v>1142.53</c:v>
                </c:pt>
                <c:pt idx="25">
                  <c:v>1003.0900000000001</c:v>
                </c:pt>
                <c:pt idx="26">
                  <c:v>1197.0999999999999</c:v>
                </c:pt>
                <c:pt idx="27">
                  <c:v>1140.28</c:v>
                </c:pt>
                <c:pt idx="28">
                  <c:v>958.21</c:v>
                </c:pt>
                <c:pt idx="29">
                  <c:v>811.26</c:v>
                </c:pt>
                <c:pt idx="30">
                  <c:v>839.53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505548800"/>
        <c:axId val="505550336"/>
      </c:lineChart>
      <c:catAx>
        <c:axId val="505548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05550336"/>
        <c:crosses val="autoZero"/>
        <c:auto val="1"/>
        <c:lblAlgn val="ctr"/>
        <c:lblOffset val="200"/>
        <c:tickLblSkip val="1"/>
      </c:catAx>
      <c:valAx>
        <c:axId val="50555033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05548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0.57140000000000002</c:v>
                </c:pt>
                <c:pt idx="1">
                  <c:v>0.2208</c:v>
                </c:pt>
                <c:pt idx="2">
                  <c:v>0.1429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0.59740000000000004</c:v>
                </c:pt>
                <c:pt idx="8">
                  <c:v>0.57140000000000002</c:v>
                </c:pt>
                <c:pt idx="9">
                  <c:v>0.58440000000000003</c:v>
                </c:pt>
                <c:pt idx="10">
                  <c:v>3.9E-2</c:v>
                </c:pt>
                <c:pt idx="11">
                  <c:v>3.9E-2</c:v>
                </c:pt>
                <c:pt idx="12">
                  <c:v>3.9E-2</c:v>
                </c:pt>
                <c:pt idx="13">
                  <c:v>2.86E-2</c:v>
                </c:pt>
                <c:pt idx="14">
                  <c:v>6.4899999999999999E-2</c:v>
                </c:pt>
                <c:pt idx="15">
                  <c:v>5.1900000000000002E-2</c:v>
                </c:pt>
                <c:pt idx="16">
                  <c:v>2.5999999999999999E-2</c:v>
                </c:pt>
                <c:pt idx="17">
                  <c:v>5.1900000000000002E-2</c:v>
                </c:pt>
                <c:pt idx="18">
                  <c:v>0.02</c:v>
                </c:pt>
                <c:pt idx="19">
                  <c:v>0.02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0.02</c:v>
                </c:pt>
                <c:pt idx="24">
                  <c:v>0.02</c:v>
                </c:pt>
                <c:pt idx="25">
                  <c:v>0.02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505570816"/>
        <c:axId val="505572352"/>
      </c:lineChart>
      <c:catAx>
        <c:axId val="505570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05572352"/>
        <c:crosses val="autoZero"/>
        <c:auto val="1"/>
        <c:lblAlgn val="ctr"/>
        <c:lblOffset val="100"/>
      </c:catAx>
      <c:valAx>
        <c:axId val="50557235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05570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2785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123.06800000000513</c:v>
                </c:pt>
                <c:pt idx="1">
                  <c:v>166.27599999997184</c:v>
                </c:pt>
                <c:pt idx="2">
                  <c:v>108.59200000003331</c:v>
                </c:pt>
                <c:pt idx="3">
                  <c:v>105.60000000000001</c:v>
                </c:pt>
                <c:pt idx="4">
                  <c:v>103.83999999996159</c:v>
                </c:pt>
                <c:pt idx="5">
                  <c:v>87.340000000025611</c:v>
                </c:pt>
                <c:pt idx="6">
                  <c:v>104.98400000000257</c:v>
                </c:pt>
                <c:pt idx="7">
                  <c:v>123.7720000000205</c:v>
                </c:pt>
                <c:pt idx="8">
                  <c:v>99.263999999989764</c:v>
                </c:pt>
                <c:pt idx="9">
                  <c:v>104.54399999997696</c:v>
                </c:pt>
                <c:pt idx="10">
                  <c:v>103.26800000000513</c:v>
                </c:pt>
                <c:pt idx="11">
                  <c:v>84.611999999982075</c:v>
                </c:pt>
                <c:pt idx="12">
                  <c:v>102.08000000005123</c:v>
                </c:pt>
                <c:pt idx="13">
                  <c:v>89.319999999948791</c:v>
                </c:pt>
                <c:pt idx="14">
                  <c:v>173.62400000002819</c:v>
                </c:pt>
                <c:pt idx="15">
                  <c:v>84.7</c:v>
                </c:pt>
                <c:pt idx="16">
                  <c:v>80.036000000010247</c:v>
                </c:pt>
                <c:pt idx="17">
                  <c:v>79.68400000000257</c:v>
                </c:pt>
                <c:pt idx="18">
                  <c:v>68.595999999984642</c:v>
                </c:pt>
                <c:pt idx="19">
                  <c:v>81.268000000005131</c:v>
                </c:pt>
                <c:pt idx="20">
                  <c:v>48.707999999966709</c:v>
                </c:pt>
                <c:pt idx="21">
                  <c:v>47.344000000040985</c:v>
                </c:pt>
                <c:pt idx="22">
                  <c:v>62.391999999969272</c:v>
                </c:pt>
                <c:pt idx="23">
                  <c:v>59.663999999989763</c:v>
                </c:pt>
                <c:pt idx="24">
                  <c:v>32.120000000012809</c:v>
                </c:pt>
                <c:pt idx="25">
                  <c:v>73.040000000025614</c:v>
                </c:pt>
                <c:pt idx="26">
                  <c:v>29.436000000010246</c:v>
                </c:pt>
                <c:pt idx="27">
                  <c:v>25.079999999987198</c:v>
                </c:pt>
                <c:pt idx="28">
                  <c:v>24.947999999992319</c:v>
                </c:pt>
                <c:pt idx="29">
                  <c:v>27.059999999974391</c:v>
                </c:pt>
                <c:pt idx="30">
                  <c:v>23.364000000053785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507132928"/>
        <c:axId val="507147008"/>
      </c:lineChart>
      <c:catAx>
        <c:axId val="507132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07147008"/>
        <c:crosses val="autoZero"/>
        <c:auto val="1"/>
        <c:lblAlgn val="ctr"/>
        <c:lblOffset val="100"/>
      </c:catAx>
      <c:valAx>
        <c:axId val="50714700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07132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5649</c:v>
                </c:pt>
                <c:pt idx="3">
                  <c:v>5543</c:v>
                </c:pt>
                <c:pt idx="4">
                  <c:v>4636</c:v>
                </c:pt>
                <c:pt idx="5">
                  <c:v>6200</c:v>
                </c:pt>
                <c:pt idx="6">
                  <c:v>6603</c:v>
                </c:pt>
                <c:pt idx="7">
                  <c:v>6820</c:v>
                </c:pt>
                <c:pt idx="8">
                  <c:v>7352</c:v>
                </c:pt>
                <c:pt idx="9">
                  <c:v>6190</c:v>
                </c:pt>
                <c:pt idx="10">
                  <c:v>4387</c:v>
                </c:pt>
                <c:pt idx="11">
                  <c:v>5593</c:v>
                </c:pt>
                <c:pt idx="12">
                  <c:v>4641</c:v>
                </c:pt>
                <c:pt idx="13">
                  <c:v>4209</c:v>
                </c:pt>
                <c:pt idx="14">
                  <c:v>3918</c:v>
                </c:pt>
                <c:pt idx="15">
                  <c:v>3497</c:v>
                </c:pt>
                <c:pt idx="16">
                  <c:v>3584</c:v>
                </c:pt>
                <c:pt idx="17">
                  <c:v>3345</c:v>
                </c:pt>
                <c:pt idx="18">
                  <c:v>3067</c:v>
                </c:pt>
                <c:pt idx="19">
                  <c:v>2970</c:v>
                </c:pt>
                <c:pt idx="20">
                  <c:v>2841</c:v>
                </c:pt>
                <c:pt idx="21">
                  <c:v>2962</c:v>
                </c:pt>
                <c:pt idx="22">
                  <c:v>2667</c:v>
                </c:pt>
                <c:pt idx="23">
                  <c:v>2379</c:v>
                </c:pt>
                <c:pt idx="24">
                  <c:v>2523</c:v>
                </c:pt>
                <c:pt idx="25">
                  <c:v>2586</c:v>
                </c:pt>
                <c:pt idx="26">
                  <c:v>2334</c:v>
                </c:pt>
                <c:pt idx="27">
                  <c:v>2348</c:v>
                </c:pt>
                <c:pt idx="28">
                  <c:v>2205</c:v>
                </c:pt>
                <c:pt idx="29">
                  <c:v>1991</c:v>
                </c:pt>
                <c:pt idx="30">
                  <c:v>1988</c:v>
                </c:pt>
                <c:pt idx="31">
                  <c:v>2056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507585280"/>
        <c:axId val="507587200"/>
      </c:lineChart>
      <c:catAx>
        <c:axId val="5075852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07587200"/>
        <c:crosses val="autoZero"/>
        <c:auto val="1"/>
        <c:lblAlgn val="ctr"/>
        <c:lblOffset val="100"/>
      </c:catAx>
      <c:valAx>
        <c:axId val="50758720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0758528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146</c:v>
                </c:pt>
                <c:pt idx="1">
                  <c:v>164</c:v>
                </c:pt>
                <c:pt idx="2">
                  <c:v>164</c:v>
                </c:pt>
                <c:pt idx="3">
                  <c:v>163</c:v>
                </c:pt>
                <c:pt idx="4">
                  <c:v>177</c:v>
                </c:pt>
                <c:pt idx="5">
                  <c:v>191</c:v>
                </c:pt>
                <c:pt idx="6">
                  <c:v>168</c:v>
                </c:pt>
                <c:pt idx="7">
                  <c:v>131</c:v>
                </c:pt>
                <c:pt idx="8">
                  <c:v>117</c:v>
                </c:pt>
                <c:pt idx="9">
                  <c:v>129</c:v>
                </c:pt>
                <c:pt idx="10">
                  <c:v>99</c:v>
                </c:pt>
                <c:pt idx="11">
                  <c:v>77</c:v>
                </c:pt>
                <c:pt idx="12">
                  <c:v>69</c:v>
                </c:pt>
                <c:pt idx="13">
                  <c:v>72</c:v>
                </c:pt>
                <c:pt idx="14">
                  <c:v>92</c:v>
                </c:pt>
                <c:pt idx="15">
                  <c:v>90</c:v>
                </c:pt>
                <c:pt idx="16">
                  <c:v>72</c:v>
                </c:pt>
                <c:pt idx="17">
                  <c:v>57</c:v>
                </c:pt>
                <c:pt idx="18">
                  <c:v>72</c:v>
                </c:pt>
                <c:pt idx="19">
                  <c:v>65</c:v>
                </c:pt>
                <c:pt idx="20">
                  <c:v>67</c:v>
                </c:pt>
                <c:pt idx="21">
                  <c:v>73</c:v>
                </c:pt>
                <c:pt idx="22">
                  <c:v>67</c:v>
                </c:pt>
                <c:pt idx="23">
                  <c:v>73</c:v>
                </c:pt>
                <c:pt idx="24">
                  <c:v>60</c:v>
                </c:pt>
                <c:pt idx="25">
                  <c:v>50</c:v>
                </c:pt>
                <c:pt idx="26">
                  <c:v>96</c:v>
                </c:pt>
                <c:pt idx="27">
                  <c:v>32</c:v>
                </c:pt>
                <c:pt idx="28">
                  <c:v>38</c:v>
                </c:pt>
                <c:pt idx="29">
                  <c:v>46</c:v>
                </c:pt>
                <c:pt idx="30">
                  <c:v>64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507182080"/>
        <c:axId val="507618432"/>
      </c:lineChart>
      <c:catAx>
        <c:axId val="5071820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07618432"/>
        <c:crosses val="autoZero"/>
        <c:auto val="1"/>
        <c:lblAlgn val="ctr"/>
        <c:lblOffset val="100"/>
      </c:catAx>
      <c:valAx>
        <c:axId val="50761843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0718208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321.77</c:v>
                </c:pt>
                <c:pt idx="1">
                  <c:v>281.34000000000003</c:v>
                </c:pt>
                <c:pt idx="2">
                  <c:v>2301.79</c:v>
                </c:pt>
                <c:pt idx="3">
                  <c:v>2275.4199999999996</c:v>
                </c:pt>
                <c:pt idx="4">
                  <c:v>2126.1800000000003</c:v>
                </c:pt>
                <c:pt idx="5">
                  <c:v>2496.3200000000002</c:v>
                </c:pt>
                <c:pt idx="6">
                  <c:v>2677.4300000000003</c:v>
                </c:pt>
                <c:pt idx="7">
                  <c:v>3118.58</c:v>
                </c:pt>
                <c:pt idx="8">
                  <c:v>3085.1400000000003</c:v>
                </c:pt>
                <c:pt idx="9">
                  <c:v>2717.7200000000003</c:v>
                </c:pt>
                <c:pt idx="10">
                  <c:v>2437.7199999999998</c:v>
                </c:pt>
                <c:pt idx="11">
                  <c:v>2234.4699999999998</c:v>
                </c:pt>
                <c:pt idx="12">
                  <c:v>1941.6</c:v>
                </c:pt>
                <c:pt idx="13">
                  <c:v>2853.9</c:v>
                </c:pt>
                <c:pt idx="14">
                  <c:v>2826.1000000000004</c:v>
                </c:pt>
                <c:pt idx="15">
                  <c:v>1385.9699999999998</c:v>
                </c:pt>
                <c:pt idx="16">
                  <c:v>1471.88</c:v>
                </c:pt>
                <c:pt idx="17">
                  <c:v>1522.8200000000002</c:v>
                </c:pt>
                <c:pt idx="18">
                  <c:v>1312.43</c:v>
                </c:pt>
                <c:pt idx="19">
                  <c:v>1192.8200000000002</c:v>
                </c:pt>
                <c:pt idx="20">
                  <c:v>1248.9099999999999</c:v>
                </c:pt>
                <c:pt idx="21">
                  <c:v>1196.43</c:v>
                </c:pt>
                <c:pt idx="22">
                  <c:v>1103.08</c:v>
                </c:pt>
                <c:pt idx="23">
                  <c:v>1176.77</c:v>
                </c:pt>
                <c:pt idx="24">
                  <c:v>1142.53</c:v>
                </c:pt>
                <c:pt idx="25">
                  <c:v>1003.0900000000001</c:v>
                </c:pt>
                <c:pt idx="26">
                  <c:v>1197.0999999999999</c:v>
                </c:pt>
                <c:pt idx="27">
                  <c:v>1140.28</c:v>
                </c:pt>
                <c:pt idx="28">
                  <c:v>958.21</c:v>
                </c:pt>
                <c:pt idx="29">
                  <c:v>811.26</c:v>
                </c:pt>
                <c:pt idx="30">
                  <c:v>839.53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508188160"/>
        <c:axId val="508189696"/>
      </c:lineChart>
      <c:catAx>
        <c:axId val="508188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08189696"/>
        <c:crosses val="autoZero"/>
        <c:auto val="1"/>
        <c:lblAlgn val="ctr"/>
        <c:lblOffset val="200"/>
        <c:tickLblSkip val="1"/>
      </c:catAx>
      <c:valAx>
        <c:axId val="50818969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08188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0.57140000000000002</c:v>
                </c:pt>
                <c:pt idx="1">
                  <c:v>0.2208</c:v>
                </c:pt>
                <c:pt idx="2">
                  <c:v>0.1429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0.59740000000000004</c:v>
                </c:pt>
                <c:pt idx="8">
                  <c:v>0.57140000000000002</c:v>
                </c:pt>
                <c:pt idx="9">
                  <c:v>0.58440000000000003</c:v>
                </c:pt>
                <c:pt idx="10">
                  <c:v>3.9E-2</c:v>
                </c:pt>
                <c:pt idx="11">
                  <c:v>3.9E-2</c:v>
                </c:pt>
                <c:pt idx="12">
                  <c:v>3.9E-2</c:v>
                </c:pt>
                <c:pt idx="13">
                  <c:v>2.86E-2</c:v>
                </c:pt>
                <c:pt idx="14">
                  <c:v>6.4899999999999999E-2</c:v>
                </c:pt>
                <c:pt idx="15">
                  <c:v>5.1900000000000002E-2</c:v>
                </c:pt>
                <c:pt idx="16">
                  <c:v>2.5999999999999999E-2</c:v>
                </c:pt>
                <c:pt idx="17">
                  <c:v>5.1900000000000002E-2</c:v>
                </c:pt>
                <c:pt idx="18">
                  <c:v>0.02</c:v>
                </c:pt>
                <c:pt idx="19">
                  <c:v>0.02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0.02</c:v>
                </c:pt>
                <c:pt idx="24">
                  <c:v>0.02</c:v>
                </c:pt>
                <c:pt idx="25">
                  <c:v>0.02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508206080"/>
        <c:axId val="506667776"/>
      </c:lineChart>
      <c:catAx>
        <c:axId val="508206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06667776"/>
        <c:crosses val="autoZero"/>
        <c:auto val="1"/>
        <c:lblAlgn val="ctr"/>
        <c:lblOffset val="100"/>
      </c:catAx>
      <c:valAx>
        <c:axId val="506667776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08206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2785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123.06800000000513</c:v>
                </c:pt>
                <c:pt idx="1">
                  <c:v>166.27599999997184</c:v>
                </c:pt>
                <c:pt idx="2">
                  <c:v>108.59200000003331</c:v>
                </c:pt>
                <c:pt idx="3">
                  <c:v>105.60000000000001</c:v>
                </c:pt>
                <c:pt idx="4">
                  <c:v>103.83999999996159</c:v>
                </c:pt>
                <c:pt idx="5">
                  <c:v>87.340000000025611</c:v>
                </c:pt>
                <c:pt idx="6">
                  <c:v>104.98400000000257</c:v>
                </c:pt>
                <c:pt idx="7">
                  <c:v>123.7720000000205</c:v>
                </c:pt>
                <c:pt idx="8">
                  <c:v>99.263999999989764</c:v>
                </c:pt>
                <c:pt idx="9">
                  <c:v>104.54399999997696</c:v>
                </c:pt>
                <c:pt idx="10">
                  <c:v>103.26800000000513</c:v>
                </c:pt>
                <c:pt idx="11">
                  <c:v>84.611999999982075</c:v>
                </c:pt>
                <c:pt idx="12">
                  <c:v>102.08000000005123</c:v>
                </c:pt>
                <c:pt idx="13">
                  <c:v>89.319999999948791</c:v>
                </c:pt>
                <c:pt idx="14">
                  <c:v>173.62400000002819</c:v>
                </c:pt>
                <c:pt idx="15">
                  <c:v>84.7</c:v>
                </c:pt>
                <c:pt idx="16">
                  <c:v>80.036000000010247</c:v>
                </c:pt>
                <c:pt idx="17">
                  <c:v>79.68400000000257</c:v>
                </c:pt>
                <c:pt idx="18">
                  <c:v>68.595999999984642</c:v>
                </c:pt>
                <c:pt idx="19">
                  <c:v>81.268000000005131</c:v>
                </c:pt>
                <c:pt idx="20">
                  <c:v>48.707999999966709</c:v>
                </c:pt>
                <c:pt idx="21">
                  <c:v>47.344000000040985</c:v>
                </c:pt>
                <c:pt idx="22">
                  <c:v>62.391999999969272</c:v>
                </c:pt>
                <c:pt idx="23">
                  <c:v>59.663999999989763</c:v>
                </c:pt>
                <c:pt idx="24">
                  <c:v>32.120000000012809</c:v>
                </c:pt>
                <c:pt idx="25">
                  <c:v>73.040000000025614</c:v>
                </c:pt>
                <c:pt idx="26">
                  <c:v>29.436000000010246</c:v>
                </c:pt>
                <c:pt idx="27">
                  <c:v>25.079999999987198</c:v>
                </c:pt>
                <c:pt idx="28">
                  <c:v>24.947999999992319</c:v>
                </c:pt>
                <c:pt idx="29">
                  <c:v>27.059999999974391</c:v>
                </c:pt>
                <c:pt idx="30">
                  <c:v>23.364000000053785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506696448"/>
        <c:axId val="506697984"/>
      </c:lineChart>
      <c:catAx>
        <c:axId val="5066964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06697984"/>
        <c:crosses val="autoZero"/>
        <c:auto val="1"/>
        <c:lblAlgn val="ctr"/>
        <c:lblOffset val="100"/>
      </c:catAx>
      <c:valAx>
        <c:axId val="50669798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06696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509298944"/>
        <c:axId val="509305216"/>
      </c:lineChart>
      <c:catAx>
        <c:axId val="50929894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09305216"/>
        <c:crosses val="autoZero"/>
        <c:auto val="1"/>
        <c:lblAlgn val="ctr"/>
        <c:lblOffset val="100"/>
      </c:catAx>
      <c:valAx>
        <c:axId val="50930521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0929894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509547264"/>
        <c:axId val="509549184"/>
      </c:lineChart>
      <c:catAx>
        <c:axId val="50954726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09549184"/>
        <c:crosses val="autoZero"/>
        <c:auto val="1"/>
        <c:lblAlgn val="ctr"/>
        <c:lblOffset val="100"/>
      </c:catAx>
      <c:valAx>
        <c:axId val="50954918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0954726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509570048"/>
        <c:axId val="509584128"/>
      </c:lineChart>
      <c:catAx>
        <c:axId val="509570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09584128"/>
        <c:crosses val="autoZero"/>
        <c:auto val="1"/>
        <c:lblAlgn val="ctr"/>
        <c:lblOffset val="200"/>
        <c:tickLblSkip val="1"/>
      </c:catAx>
      <c:valAx>
        <c:axId val="50958412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09570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508826368"/>
        <c:axId val="508827904"/>
      </c:lineChart>
      <c:catAx>
        <c:axId val="5088263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08827904"/>
        <c:crosses val="autoZero"/>
        <c:auto val="1"/>
        <c:lblAlgn val="ctr"/>
        <c:lblOffset val="100"/>
      </c:catAx>
      <c:valAx>
        <c:axId val="5088279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08826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2969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508877056"/>
        <c:axId val="508882944"/>
      </c:lineChart>
      <c:catAx>
        <c:axId val="508877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08882944"/>
        <c:crosses val="autoZero"/>
        <c:auto val="1"/>
        <c:lblAlgn val="ctr"/>
        <c:lblOffset val="100"/>
      </c:catAx>
      <c:valAx>
        <c:axId val="5088829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08877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510054400"/>
        <c:axId val="510056320"/>
      </c:lineChart>
      <c:catAx>
        <c:axId val="5100544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10056320"/>
        <c:crosses val="autoZero"/>
        <c:auto val="1"/>
        <c:lblAlgn val="ctr"/>
        <c:lblOffset val="100"/>
      </c:catAx>
      <c:valAx>
        <c:axId val="51005632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1005440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510044416"/>
        <c:axId val="510235008"/>
      </c:lineChart>
      <c:catAx>
        <c:axId val="5100444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10235008"/>
        <c:crosses val="autoZero"/>
        <c:auto val="1"/>
        <c:lblAlgn val="ctr"/>
        <c:lblOffset val="100"/>
      </c:catAx>
      <c:valAx>
        <c:axId val="51023500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1004441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510259968"/>
        <c:axId val="510261504"/>
      </c:lineChart>
      <c:catAx>
        <c:axId val="5102599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10261504"/>
        <c:crosses val="autoZero"/>
        <c:auto val="1"/>
        <c:lblAlgn val="ctr"/>
        <c:lblOffset val="200"/>
        <c:tickLblSkip val="1"/>
      </c:catAx>
      <c:valAx>
        <c:axId val="51026150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10259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510429440"/>
        <c:axId val="510443520"/>
      </c:lineChart>
      <c:catAx>
        <c:axId val="510429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10443520"/>
        <c:crosses val="autoZero"/>
        <c:auto val="1"/>
        <c:lblAlgn val="ctr"/>
        <c:lblOffset val="100"/>
      </c:catAx>
      <c:valAx>
        <c:axId val="5104435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10429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2969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510926848"/>
        <c:axId val="510928384"/>
      </c:lineChart>
      <c:catAx>
        <c:axId val="510926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10928384"/>
        <c:crosses val="autoZero"/>
        <c:auto val="1"/>
        <c:lblAlgn val="ctr"/>
        <c:lblOffset val="100"/>
      </c:catAx>
      <c:valAx>
        <c:axId val="5109283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10926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eg"/><Relationship Id="rId4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:a16="http://schemas.microsoft.com/office/drawing/2014/main" xmlns="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:a16="http://schemas.microsoft.com/office/drawing/2014/main" xmlns="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:a16="http://schemas.microsoft.com/office/drawing/2014/main" xmlns="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:a16="http://schemas.microsoft.com/office/drawing/2014/main" xmlns="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:a16="http://schemas.microsoft.com/office/drawing/2014/main" xmlns="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:a16="http://schemas.microsoft.com/office/drawing/2014/main" xmlns="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:a16="http://schemas.microsoft.com/office/drawing/2014/main" xmlns="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:a16="http://schemas.microsoft.com/office/drawing/2014/main" xmlns="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xmlns="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:a16="http://schemas.microsoft.com/office/drawing/2014/main" xmlns="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xmlns="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:a16="http://schemas.microsoft.com/office/drawing/2014/main" xmlns="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xmlns="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:a16="http://schemas.microsoft.com/office/drawing/2014/main" xmlns="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:a16="http://schemas.microsoft.com/office/drawing/2014/main" xmlns="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100011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1713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100011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012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:a16="http://schemas.microsoft.com/office/drawing/2014/main" xmlns="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:a16="http://schemas.microsoft.com/office/drawing/2014/main" xmlns="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:a16="http://schemas.microsoft.com/office/drawing/2014/main" xmlns="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xmlns="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89807</xdr:rowOff>
    </xdr:to>
    <xdr:pic>
      <xdr:nvPicPr>
        <xdr:cNvPr id="47866671" name="Picture 1" descr="SerengetiTanzania_SafariLodge">
          <a:extLst>
            <a:ext uri="{FF2B5EF4-FFF2-40B4-BE49-F238E27FC236}">
              <a16:creationId xmlns:a16="http://schemas.microsoft.com/office/drawing/2014/main" xmlns="" id="{00000000-0008-0000-0A00-00002F63D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89807</xdr:rowOff>
    </xdr:to>
    <xdr:pic>
      <xdr:nvPicPr>
        <xdr:cNvPr id="3" name="Picture 1" descr="SerengetiTanzania_SafariLodge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721179</xdr:colOff>
      <xdr:row>47</xdr:row>
      <xdr:rowOff>81643</xdr:rowOff>
    </xdr:from>
    <xdr:to>
      <xdr:col>9</xdr:col>
      <xdr:colOff>557893</xdr:colOff>
      <xdr:row>62</xdr:row>
      <xdr:rowOff>136071</xdr:rowOff>
    </xdr:to>
    <xdr:pic>
      <xdr:nvPicPr>
        <xdr:cNvPr id="4" name="Picture 3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674429" y="10926536"/>
          <a:ext cx="2585357" cy="2503714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81642</xdr:colOff>
      <xdr:row>47</xdr:row>
      <xdr:rowOff>40821</xdr:rowOff>
    </xdr:from>
    <xdr:to>
      <xdr:col>2</xdr:col>
      <xdr:colOff>1061357</xdr:colOff>
      <xdr:row>62</xdr:row>
      <xdr:rowOff>136071</xdr:rowOff>
    </xdr:to>
    <xdr:pic>
      <xdr:nvPicPr>
        <xdr:cNvPr id="5" name="Picture 4"/>
        <xdr:cNvPicPr/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020535" y="10872107"/>
          <a:ext cx="2245179" cy="2544536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585108</xdr:colOff>
      <xdr:row>47</xdr:row>
      <xdr:rowOff>40821</xdr:rowOff>
    </xdr:from>
    <xdr:to>
      <xdr:col>6</xdr:col>
      <xdr:colOff>843645</xdr:colOff>
      <xdr:row>63</xdr:row>
      <xdr:rowOff>54428</xdr:rowOff>
    </xdr:to>
    <xdr:pic>
      <xdr:nvPicPr>
        <xdr:cNvPr id="6" name="Picture 5"/>
        <xdr:cNvPicPr/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3891644" y="10885714"/>
          <a:ext cx="2490108" cy="2626178"/>
        </a:xfrm>
        <a:prstGeom prst="rect">
          <a:avLst/>
        </a:prstGeom>
        <a:noFill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:a16="http://schemas.microsoft.com/office/drawing/2014/main" xmlns="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:a16="http://schemas.microsoft.com/office/drawing/2014/main" xmlns="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:a16="http://schemas.microsoft.com/office/drawing/2014/main" xmlns="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:a16="http://schemas.microsoft.com/office/drawing/2014/main" xmlns="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:a16="http://schemas.microsoft.com/office/drawing/2014/main" xmlns="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:a16="http://schemas.microsoft.com/office/drawing/2014/main" xmlns="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:a16="http://schemas.microsoft.com/office/drawing/2014/main" xmlns="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:a16="http://schemas.microsoft.com/office/drawing/2014/main" xmlns="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:a16="http://schemas.microsoft.com/office/drawing/2014/main" xmlns="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:a16="http://schemas.microsoft.com/office/drawing/2014/main" xmlns="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:a16="http://schemas.microsoft.com/office/drawing/2014/main" xmlns="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:a16="http://schemas.microsoft.com/office/drawing/2014/main" xmlns="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xmlns="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xmlns="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xmlns="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:a16="http://schemas.microsoft.com/office/drawing/2014/main" xmlns="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:a16="http://schemas.microsoft.com/office/drawing/2014/main" xmlns="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xmlns="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:a16="http://schemas.microsoft.com/office/drawing/2014/main" xmlns="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:a16="http://schemas.microsoft.com/office/drawing/2014/main" xmlns="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:a16="http://schemas.microsoft.com/office/drawing/2014/main" xmlns="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:a16="http://schemas.microsoft.com/office/drawing/2014/main" xmlns="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102</xdr:row>
      <xdr:rowOff>85725</xdr:rowOff>
    </xdr:from>
    <xdr:to>
      <xdr:col>3</xdr:col>
      <xdr:colOff>838200</xdr:colOff>
      <xdr:row>106</xdr:row>
      <xdr:rowOff>24752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5800" y="17011650"/>
          <a:ext cx="2486025" cy="586727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161925</xdr:colOff>
      <xdr:row>102</xdr:row>
      <xdr:rowOff>123825</xdr:rowOff>
    </xdr:from>
    <xdr:to>
      <xdr:col>6</xdr:col>
      <xdr:colOff>800100</xdr:colOff>
      <xdr:row>106</xdr:row>
      <xdr:rowOff>115710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81375" y="17040225"/>
          <a:ext cx="2305050" cy="639585"/>
        </a:xfrm>
        <a:prstGeom prst="rect">
          <a:avLst/>
        </a:prstGeom>
        <a:noFill/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142875</xdr:colOff>
      <xdr:row>90</xdr:row>
      <xdr:rowOff>19050</xdr:rowOff>
    </xdr:from>
    <xdr:to>
      <xdr:col>9</xdr:col>
      <xdr:colOff>923069</xdr:colOff>
      <xdr:row>94</xdr:row>
      <xdr:rowOff>90339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905625" y="14992350"/>
          <a:ext cx="2608994" cy="7189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333375</xdr:colOff>
      <xdr:row>90</xdr:row>
      <xdr:rowOff>28575</xdr:rowOff>
    </xdr:from>
    <xdr:to>
      <xdr:col>4</xdr:col>
      <xdr:colOff>109261</xdr:colOff>
      <xdr:row>94</xdr:row>
      <xdr:rowOff>72638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009650" y="15001875"/>
          <a:ext cx="2957236" cy="691763"/>
        </a:xfrm>
        <a:prstGeom prst="rect">
          <a:avLst/>
        </a:prstGeom>
        <a:noFill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HLP-REPORT%202010%20to%202016/HLP-REPORT%202010%20to%202017/HLP-REPORT-2016/HLP/8%20AUGUST%202016%20HLP%20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HLP-REPORT%202010%20to%202016/HLP-REPORT%202010%20to%202017/HLP-REPORT-2016/HLP/9%20SEPTEMBER%202016%20HLP%20REPORT%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T10">
            <v>0</v>
          </cell>
          <cell r="AJ10">
            <v>0</v>
          </cell>
        </row>
        <row r="11">
          <cell r="A11">
            <v>43739</v>
          </cell>
          <cell r="B11">
            <v>0.623</v>
          </cell>
          <cell r="S11">
            <v>2179.4799999999996</v>
          </cell>
          <cell r="T11">
            <v>5669</v>
          </cell>
          <cell r="AT11">
            <v>47806.650000000031</v>
          </cell>
        </row>
        <row r="12">
          <cell r="A12">
            <v>43740</v>
          </cell>
          <cell r="B12">
            <v>0.77900000000000003</v>
          </cell>
          <cell r="S12">
            <v>2472.85</v>
          </cell>
          <cell r="T12">
            <v>6159</v>
          </cell>
          <cell r="AT12">
            <v>45423.890000000029</v>
          </cell>
        </row>
        <row r="13">
          <cell r="A13">
            <v>43741</v>
          </cell>
          <cell r="B13">
            <v>0.53200000000000003</v>
          </cell>
          <cell r="S13">
            <v>2554.3900000000003</v>
          </cell>
          <cell r="T13">
            <v>6580</v>
          </cell>
          <cell r="AT13">
            <v>42919.590000000026</v>
          </cell>
        </row>
        <row r="14">
          <cell r="A14">
            <v>43742</v>
          </cell>
          <cell r="B14">
            <v>0.61</v>
          </cell>
          <cell r="S14">
            <v>2441.42</v>
          </cell>
          <cell r="T14">
            <v>6223</v>
          </cell>
          <cell r="AT14">
            <v>40258.940000000024</v>
          </cell>
        </row>
        <row r="15">
          <cell r="A15">
            <v>43743</v>
          </cell>
          <cell r="B15">
            <v>0.68799999999999994</v>
          </cell>
          <cell r="S15">
            <v>2338.3599999999997</v>
          </cell>
          <cell r="T15">
            <v>5984</v>
          </cell>
          <cell r="AT15">
            <v>37525.210000000021</v>
          </cell>
        </row>
        <row r="16">
          <cell r="A16">
            <v>43744</v>
          </cell>
          <cell r="B16">
            <v>0.53200000000000003</v>
          </cell>
          <cell r="S16">
            <v>2478.9</v>
          </cell>
          <cell r="T16">
            <v>6103</v>
          </cell>
          <cell r="AT16">
            <v>35107.690000000024</v>
          </cell>
        </row>
        <row r="17">
          <cell r="A17">
            <v>43745</v>
          </cell>
          <cell r="B17">
            <v>0.753</v>
          </cell>
          <cell r="S17">
            <v>2276.44</v>
          </cell>
          <cell r="T17">
            <v>5576</v>
          </cell>
          <cell r="AT17">
            <v>47513.140000000029</v>
          </cell>
        </row>
        <row r="18">
          <cell r="A18">
            <v>43746</v>
          </cell>
          <cell r="B18">
            <v>0.156</v>
          </cell>
          <cell r="S18">
            <v>2242.4</v>
          </cell>
          <cell r="T18">
            <v>5532</v>
          </cell>
          <cell r="AT18">
            <v>45161.890000000029</v>
          </cell>
        </row>
        <row r="19">
          <cell r="A19">
            <v>43747</v>
          </cell>
          <cell r="B19">
            <v>0.442</v>
          </cell>
          <cell r="S19">
            <v>2430.2700000000004</v>
          </cell>
          <cell r="T19">
            <v>6233</v>
          </cell>
          <cell r="AT19">
            <v>42825.480000000025</v>
          </cell>
        </row>
        <row r="20">
          <cell r="A20">
            <v>43748</v>
          </cell>
          <cell r="B20">
            <v>0.32500000000000001</v>
          </cell>
          <cell r="S20">
            <v>2463.77</v>
          </cell>
          <cell r="T20">
            <v>6063</v>
          </cell>
          <cell r="AT20">
            <v>40110.380000000026</v>
          </cell>
        </row>
        <row r="21">
          <cell r="A21">
            <v>43749</v>
          </cell>
          <cell r="B21">
            <v>0.45500000000000002</v>
          </cell>
          <cell r="S21">
            <v>2310.19</v>
          </cell>
          <cell r="T21">
            <v>5967</v>
          </cell>
          <cell r="AT21">
            <v>37540.570000000029</v>
          </cell>
        </row>
        <row r="22">
          <cell r="A22">
            <v>43750</v>
          </cell>
          <cell r="B22">
            <v>0.41599999999999998</v>
          </cell>
          <cell r="S22">
            <v>2429.17</v>
          </cell>
          <cell r="T22">
            <v>5863</v>
          </cell>
          <cell r="AT22">
            <v>34967.29000000003</v>
          </cell>
        </row>
        <row r="23">
          <cell r="A23">
            <v>43751</v>
          </cell>
          <cell r="B23">
            <v>0.39</v>
          </cell>
          <cell r="S23">
            <v>2249.5299999999997</v>
          </cell>
          <cell r="T23">
            <v>5720</v>
          </cell>
          <cell r="AT23">
            <v>32228.760000000031</v>
          </cell>
        </row>
        <row r="24">
          <cell r="A24">
            <v>43752</v>
          </cell>
          <cell r="B24">
            <v>0.63600000000000001</v>
          </cell>
          <cell r="S24">
            <v>2420.41</v>
          </cell>
          <cell r="T24">
            <v>6195</v>
          </cell>
          <cell r="AT24">
            <v>29915.45000000003</v>
          </cell>
        </row>
        <row r="25">
          <cell r="A25">
            <v>43753</v>
          </cell>
          <cell r="B25">
            <v>0.84399999999999997</v>
          </cell>
          <cell r="S25">
            <v>2670.31</v>
          </cell>
          <cell r="T25">
            <v>6450</v>
          </cell>
          <cell r="AJ25">
            <v>80.56</v>
          </cell>
          <cell r="AT25">
            <v>42248.240000000034</v>
          </cell>
        </row>
        <row r="26">
          <cell r="A26">
            <v>43754</v>
          </cell>
          <cell r="B26">
            <v>0.81799999999999995</v>
          </cell>
          <cell r="S26">
            <v>2741.7</v>
          </cell>
          <cell r="T26">
            <v>6915</v>
          </cell>
          <cell r="AT26">
            <v>39497.370000000032</v>
          </cell>
        </row>
        <row r="27">
          <cell r="A27">
            <v>43755</v>
          </cell>
          <cell r="B27">
            <v>0.20799999999999999</v>
          </cell>
          <cell r="S27">
            <v>2321.11</v>
          </cell>
          <cell r="T27">
            <v>5962</v>
          </cell>
          <cell r="AJ27">
            <v>597.9</v>
          </cell>
          <cell r="AT27">
            <v>36688.350000000035</v>
          </cell>
        </row>
        <row r="28">
          <cell r="A28">
            <v>43756</v>
          </cell>
          <cell r="B28">
            <v>0.221</v>
          </cell>
          <cell r="S28">
            <v>2204.84</v>
          </cell>
          <cell r="T28">
            <v>5257</v>
          </cell>
          <cell r="AJ28">
            <v>227.73000000000002</v>
          </cell>
          <cell r="AT28">
            <v>33769.340000000033</v>
          </cell>
        </row>
        <row r="29">
          <cell r="A29">
            <v>43757</v>
          </cell>
          <cell r="B29">
            <v>0.11700000000000001</v>
          </cell>
          <cell r="S29">
            <v>1845.1800000000003</v>
          </cell>
          <cell r="T29">
            <v>4691</v>
          </cell>
          <cell r="AJ29">
            <v>88.289999999999992</v>
          </cell>
          <cell r="AT29">
            <v>31336.770000000033</v>
          </cell>
        </row>
        <row r="30">
          <cell r="A30">
            <v>43758</v>
          </cell>
          <cell r="B30">
            <v>0.57099999999999995</v>
          </cell>
          <cell r="S30">
            <v>2197.0099999999998</v>
          </cell>
          <cell r="T30">
            <v>5712</v>
          </cell>
          <cell r="AJ30">
            <v>783.92</v>
          </cell>
          <cell r="AT30">
            <v>29403.300000000032</v>
          </cell>
        </row>
        <row r="31">
          <cell r="A31">
            <v>43759</v>
          </cell>
          <cell r="B31">
            <v>0.55800000000000005</v>
          </cell>
          <cell r="S31">
            <v>2262.16</v>
          </cell>
          <cell r="T31">
            <v>5941</v>
          </cell>
          <cell r="AJ31">
            <v>172.05</v>
          </cell>
          <cell r="AT31">
            <v>41422.370000000032</v>
          </cell>
        </row>
        <row r="32">
          <cell r="A32">
            <v>43760</v>
          </cell>
          <cell r="B32">
            <v>0.40300000000000002</v>
          </cell>
          <cell r="S32">
            <v>2286.86</v>
          </cell>
          <cell r="T32">
            <v>5400</v>
          </cell>
          <cell r="AJ32">
            <v>18.63</v>
          </cell>
          <cell r="AT32">
            <v>38988.160000000033</v>
          </cell>
        </row>
        <row r="33">
          <cell r="A33">
            <v>43761</v>
          </cell>
          <cell r="B33">
            <v>0.24</v>
          </cell>
          <cell r="S33">
            <v>2148.2999999999997</v>
          </cell>
          <cell r="T33">
            <v>5371</v>
          </cell>
          <cell r="AJ33">
            <v>311.34000000000003</v>
          </cell>
          <cell r="AT33">
            <v>36682.670000000035</v>
          </cell>
        </row>
        <row r="34">
          <cell r="A34">
            <v>43762</v>
          </cell>
          <cell r="B34">
            <v>0.09</v>
          </cell>
          <cell r="S34">
            <v>2213.27</v>
          </cell>
          <cell r="T34">
            <v>5296</v>
          </cell>
          <cell r="AJ34">
            <v>380.7</v>
          </cell>
          <cell r="AT34">
            <v>44223.030000000035</v>
          </cell>
        </row>
        <row r="35">
          <cell r="A35">
            <v>43763</v>
          </cell>
          <cell r="B35">
            <v>0.28599999999999998</v>
          </cell>
          <cell r="S35">
            <v>2104.5200000000004</v>
          </cell>
          <cell r="T35">
            <v>5221</v>
          </cell>
          <cell r="AJ35">
            <v>273.37</v>
          </cell>
          <cell r="AT35">
            <v>41629.060000000034</v>
          </cell>
        </row>
        <row r="36">
          <cell r="A36">
            <v>43764</v>
          </cell>
          <cell r="B36">
            <v>0.54500000000000004</v>
          </cell>
          <cell r="S36">
            <v>2470.2400000000002</v>
          </cell>
          <cell r="T36">
            <v>5665</v>
          </cell>
          <cell r="AJ36">
            <v>396.56</v>
          </cell>
          <cell r="AT36">
            <v>39251.170000000035</v>
          </cell>
        </row>
        <row r="37">
          <cell r="A37">
            <v>43765</v>
          </cell>
          <cell r="B37">
            <v>0.67500000000000004</v>
          </cell>
          <cell r="S37">
            <v>2323.7399999999998</v>
          </cell>
          <cell r="T37">
            <v>6109</v>
          </cell>
          <cell r="AJ37">
            <v>280.63</v>
          </cell>
          <cell r="AT37">
            <v>36384.370000000032</v>
          </cell>
        </row>
        <row r="38">
          <cell r="A38">
            <v>43766</v>
          </cell>
          <cell r="B38">
            <v>0.27300000000000002</v>
          </cell>
          <cell r="S38">
            <v>0</v>
          </cell>
          <cell r="T38">
            <v>0</v>
          </cell>
          <cell r="AJ38">
            <v>0</v>
          </cell>
          <cell r="AT38">
            <v>33780.000000000029</v>
          </cell>
        </row>
        <row r="39">
          <cell r="A39">
            <v>43767</v>
          </cell>
          <cell r="S39">
            <v>0</v>
          </cell>
          <cell r="T39">
            <v>0</v>
          </cell>
          <cell r="AJ39">
            <v>0</v>
          </cell>
          <cell r="AT39">
            <v>33780.000000000029</v>
          </cell>
        </row>
        <row r="40">
          <cell r="A40">
            <v>43768</v>
          </cell>
          <cell r="S40">
            <v>0</v>
          </cell>
          <cell r="T40">
            <v>0</v>
          </cell>
          <cell r="AJ40">
            <v>0</v>
          </cell>
          <cell r="AT40">
            <v>33780.000000000029</v>
          </cell>
        </row>
        <row r="41">
          <cell r="A41">
            <v>43769</v>
          </cell>
          <cell r="S41">
            <v>0</v>
          </cell>
          <cell r="T41">
            <v>0</v>
          </cell>
          <cell r="AJ41">
            <v>0</v>
          </cell>
          <cell r="AT41">
            <v>33780.000000000029</v>
          </cell>
        </row>
        <row r="42">
          <cell r="T42">
            <v>0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  <cell r="J5">
            <v>7351</v>
          </cell>
          <cell r="P5">
            <v>18541</v>
          </cell>
        </row>
        <row r="6">
          <cell r="G6">
            <v>36434</v>
          </cell>
          <cell r="J6">
            <v>7353</v>
          </cell>
          <cell r="P6">
            <v>18547</v>
          </cell>
        </row>
        <row r="7">
          <cell r="G7">
            <v>36454</v>
          </cell>
          <cell r="J7">
            <v>7357</v>
          </cell>
          <cell r="P7">
            <v>18554</v>
          </cell>
        </row>
        <row r="8">
          <cell r="G8">
            <v>36472</v>
          </cell>
          <cell r="J8">
            <v>7360</v>
          </cell>
          <cell r="P8">
            <v>18563</v>
          </cell>
        </row>
        <row r="9">
          <cell r="G9">
            <v>36485</v>
          </cell>
          <cell r="J9">
            <v>7364</v>
          </cell>
          <cell r="P9">
            <v>18575</v>
          </cell>
        </row>
        <row r="10">
          <cell r="E10">
            <v>114</v>
          </cell>
          <cell r="G10">
            <v>36500</v>
          </cell>
          <cell r="J10">
            <v>7367</v>
          </cell>
          <cell r="P10">
            <v>18586</v>
          </cell>
        </row>
        <row r="11">
          <cell r="E11">
            <v>126</v>
          </cell>
          <cell r="G11">
            <v>36516</v>
          </cell>
          <cell r="J11">
            <v>7369</v>
          </cell>
          <cell r="P11">
            <v>18593</v>
          </cell>
        </row>
        <row r="12">
          <cell r="E12">
            <v>116</v>
          </cell>
          <cell r="G12">
            <v>36529</v>
          </cell>
          <cell r="J12">
            <v>7372</v>
          </cell>
          <cell r="P12">
            <v>18606</v>
          </cell>
        </row>
        <row r="13">
          <cell r="E13">
            <v>120</v>
          </cell>
          <cell r="G13">
            <v>36543</v>
          </cell>
          <cell r="J13">
            <v>7374</v>
          </cell>
          <cell r="P13">
            <v>18616</v>
          </cell>
        </row>
        <row r="14">
          <cell r="E14">
            <v>107</v>
          </cell>
          <cell r="G14">
            <v>36560</v>
          </cell>
          <cell r="J14">
            <v>7377</v>
          </cell>
          <cell r="P14">
            <v>18623</v>
          </cell>
        </row>
        <row r="15">
          <cell r="E15">
            <v>123</v>
          </cell>
          <cell r="G15">
            <v>36574</v>
          </cell>
          <cell r="J15">
            <v>7381</v>
          </cell>
          <cell r="P15">
            <v>18634</v>
          </cell>
        </row>
        <row r="16">
          <cell r="E16">
            <v>112</v>
          </cell>
          <cell r="G16">
            <v>36591</v>
          </cell>
          <cell r="J16">
            <v>7385</v>
          </cell>
          <cell r="P16">
            <v>18643</v>
          </cell>
        </row>
        <row r="17">
          <cell r="E17">
            <v>128</v>
          </cell>
          <cell r="G17">
            <v>36605</v>
          </cell>
          <cell r="J17">
            <v>7388</v>
          </cell>
          <cell r="P17">
            <v>18652</v>
          </cell>
        </row>
        <row r="18">
          <cell r="E18">
            <v>114</v>
          </cell>
          <cell r="G18">
            <v>36619</v>
          </cell>
          <cell r="J18">
            <v>7390</v>
          </cell>
          <cell r="P18">
            <v>18661</v>
          </cell>
        </row>
        <row r="19">
          <cell r="E19">
            <v>119</v>
          </cell>
          <cell r="G19">
            <v>36632</v>
          </cell>
          <cell r="J19">
            <v>7393</v>
          </cell>
          <cell r="P19">
            <v>18672</v>
          </cell>
        </row>
        <row r="20">
          <cell r="E20">
            <v>128</v>
          </cell>
          <cell r="G20">
            <v>36651</v>
          </cell>
          <cell r="J20">
            <v>7396</v>
          </cell>
          <cell r="P20">
            <v>18680</v>
          </cell>
        </row>
        <row r="21">
          <cell r="E21">
            <v>127</v>
          </cell>
          <cell r="G21">
            <v>36668</v>
          </cell>
          <cell r="J21">
            <v>7398</v>
          </cell>
          <cell r="P21">
            <v>18689</v>
          </cell>
        </row>
        <row r="22">
          <cell r="E22">
            <v>122</v>
          </cell>
          <cell r="G22">
            <v>36681</v>
          </cell>
          <cell r="J22">
            <v>7402</v>
          </cell>
          <cell r="P22">
            <v>18701</v>
          </cell>
        </row>
        <row r="23">
          <cell r="G23">
            <v>36696</v>
          </cell>
          <cell r="J23">
            <v>7404</v>
          </cell>
          <cell r="P23">
            <v>18712</v>
          </cell>
        </row>
        <row r="24">
          <cell r="E24">
            <v>104</v>
          </cell>
          <cell r="G24">
            <v>36708</v>
          </cell>
          <cell r="J24">
            <v>7408</v>
          </cell>
          <cell r="P24">
            <v>18719</v>
          </cell>
        </row>
        <row r="25">
          <cell r="E25">
            <v>100</v>
          </cell>
          <cell r="G25">
            <v>36724</v>
          </cell>
          <cell r="J25">
            <v>7412</v>
          </cell>
          <cell r="P25">
            <v>18728</v>
          </cell>
        </row>
        <row r="26">
          <cell r="E26">
            <v>116</v>
          </cell>
          <cell r="G26">
            <v>36740</v>
          </cell>
          <cell r="J26">
            <v>7415</v>
          </cell>
          <cell r="P26">
            <v>18737</v>
          </cell>
        </row>
        <row r="27">
          <cell r="E27">
            <v>114</v>
          </cell>
          <cell r="G27">
            <v>36754</v>
          </cell>
          <cell r="J27">
            <v>7418</v>
          </cell>
          <cell r="P27">
            <v>18746</v>
          </cell>
        </row>
        <row r="28">
          <cell r="E28">
            <v>113</v>
          </cell>
          <cell r="G28">
            <v>36767</v>
          </cell>
          <cell r="J28">
            <v>7421</v>
          </cell>
          <cell r="P28">
            <v>18754</v>
          </cell>
        </row>
        <row r="29">
          <cell r="E29">
            <v>99</v>
          </cell>
          <cell r="G29">
            <v>36779</v>
          </cell>
          <cell r="J29">
            <v>7423</v>
          </cell>
          <cell r="P29">
            <v>18763</v>
          </cell>
        </row>
        <row r="30">
          <cell r="E30">
            <v>111</v>
          </cell>
          <cell r="G30">
            <v>36792</v>
          </cell>
          <cell r="J30">
            <v>7426</v>
          </cell>
          <cell r="P30">
            <v>18773</v>
          </cell>
        </row>
        <row r="31">
          <cell r="E31">
            <v>130</v>
          </cell>
          <cell r="G31">
            <v>36809</v>
          </cell>
          <cell r="J31">
            <v>7428</v>
          </cell>
          <cell r="P31">
            <v>18782</v>
          </cell>
        </row>
        <row r="32">
          <cell r="E32">
            <v>114</v>
          </cell>
          <cell r="G32">
            <v>36825</v>
          </cell>
          <cell r="J32">
            <v>7432</v>
          </cell>
          <cell r="P32">
            <v>18790</v>
          </cell>
        </row>
        <row r="33">
          <cell r="E33">
            <v>-215493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  <row r="38">
          <cell r="E38">
            <v>-212333</v>
          </cell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Utility summery"/>
      <sheetName val="Utility report"/>
      <sheetName val="Kit report"/>
      <sheetName val="Summery Report"/>
      <sheetName val="Daily report Gen"/>
      <sheetName val="Gen"/>
      <sheetName val="Energy Graph"/>
      <sheetName val="Lpg (2)"/>
      <sheetName val="LPG_Graph"/>
      <sheetName val="LUB OIL-1"/>
      <sheetName val="Water-Meter"/>
      <sheetName val="Water_Graph "/>
      <sheetName val="WTL-Softner"/>
      <sheetName val="Sheet1"/>
      <sheetName val="PRINT"/>
      <sheetName val="VODACOM AND AIRTEL"/>
      <sheetName val="SABASABA GENERATOR "/>
      <sheetName val="FUEL METER RE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3">
          <cell r="C43">
            <v>43914.400000000001</v>
          </cell>
        </row>
        <row r="45">
          <cell r="AR45">
            <v>72766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Utility summery"/>
      <sheetName val="Utility report"/>
      <sheetName val="Kit report"/>
      <sheetName val="Summery Report"/>
      <sheetName val="Daily report Gen"/>
      <sheetName val="Gen"/>
      <sheetName val="Energy Graph"/>
      <sheetName val="Lpg (2)"/>
      <sheetName val="LPG_Graph"/>
      <sheetName val="LUB OIL-1"/>
      <sheetName val="Water-Meter"/>
      <sheetName val="Water_Graph "/>
      <sheetName val="WTL-Softner"/>
      <sheetName val="Sheet1"/>
      <sheetName val="PRINT"/>
      <sheetName val="VODACOM AND AIRTEL"/>
      <sheetName val="SABASABA GENERATOR "/>
      <sheetName val="FUEL METER RE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3">
          <cell r="C43">
            <v>45006.900000000016</v>
          </cell>
        </row>
        <row r="45">
          <cell r="AR45">
            <v>64036.499999999993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M13" sqref="M13"/>
    </sheetView>
  </sheetViews>
  <sheetFormatPr defaultColWidth="11.5703125" defaultRowHeight="12.75"/>
  <cols>
    <col min="1" max="1" width="12.42578125" style="12" customWidth="1"/>
    <col min="2" max="3" width="11.5703125" style="551"/>
    <col min="4" max="4" width="13.42578125" style="552" customWidth="1"/>
    <col min="5" max="5" width="12.5703125" style="553" customWidth="1"/>
    <col min="6" max="6" width="12.5703125" style="12" customWidth="1"/>
    <col min="7" max="7" width="11.5703125" style="12"/>
    <col min="8" max="8" width="11.5703125" style="566"/>
    <col min="9" max="9" width="11.5703125" style="12"/>
    <col min="10" max="10" width="11.5703125" style="566"/>
    <col min="11" max="11" width="11.5703125" style="553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549" customFormat="1" ht="60.75" thickBot="1">
      <c r="A1" s="543" t="s">
        <v>272</v>
      </c>
      <c r="B1" s="544" t="s">
        <v>273</v>
      </c>
      <c r="C1" s="544" t="s">
        <v>274</v>
      </c>
      <c r="D1" s="545" t="s">
        <v>275</v>
      </c>
      <c r="E1" s="546" t="s">
        <v>276</v>
      </c>
      <c r="F1" s="547" t="s">
        <v>277</v>
      </c>
      <c r="G1" s="547" t="s">
        <v>278</v>
      </c>
      <c r="H1" s="564" t="s">
        <v>279</v>
      </c>
      <c r="I1" s="547" t="s">
        <v>280</v>
      </c>
      <c r="J1" s="564" t="s">
        <v>281</v>
      </c>
      <c r="K1" s="546" t="s">
        <v>282</v>
      </c>
      <c r="L1" s="548" t="s">
        <v>283</v>
      </c>
    </row>
    <row r="2" spans="1:12">
      <c r="A2" s="550" t="s">
        <v>284</v>
      </c>
      <c r="B2" s="551">
        <v>1</v>
      </c>
      <c r="C2" s="551">
        <v>3</v>
      </c>
      <c r="D2" s="552">
        <v>2020</v>
      </c>
      <c r="E2" s="553">
        <f>'UTILITY REPORT 1'!F3</f>
        <v>5649</v>
      </c>
      <c r="F2" s="554">
        <f>('UTILITY REPORT 1'!E3*'UTILITY REPORT 1'!D3)/'UTILITY REPORT 1'!F3</f>
        <v>0.39771463975924942</v>
      </c>
      <c r="G2" s="554">
        <f>IF('Utility summery'!M6&lt;0,"0",'Utility summery'!M6)</f>
        <v>123.06800000000513</v>
      </c>
      <c r="H2" s="565">
        <v>0</v>
      </c>
      <c r="I2" s="554">
        <f>IF('UTILITY REPORT 1'!G3&lt;0,"0",'UTILITY REPORT 1'!G3)</f>
        <v>146</v>
      </c>
      <c r="J2" s="565">
        <v>0</v>
      </c>
      <c r="K2" s="553">
        <f>'UTILITY REPORT 1'!C3</f>
        <v>46</v>
      </c>
      <c r="L2" s="555" t="e">
        <f>E2*F2+G2*H2+#REF!*#REF!+I2*J2</f>
        <v>#REF!</v>
      </c>
    </row>
    <row r="3" spans="1:12">
      <c r="A3" s="550" t="s">
        <v>284</v>
      </c>
      <c r="B3" s="551">
        <f>B2+1</f>
        <v>2</v>
      </c>
      <c r="C3" s="551">
        <v>3</v>
      </c>
      <c r="D3" s="552">
        <v>2020</v>
      </c>
      <c r="E3" s="553">
        <f>'UTILITY REPORT 1'!F4</f>
        <v>5543</v>
      </c>
      <c r="F3" s="554">
        <f>('UTILITY REPORT 1'!E4*'UTILITY REPORT 1'!D4)/'UTILITY REPORT 1'!F4</f>
        <v>0.38345300378856206</v>
      </c>
      <c r="G3" s="554">
        <f>IF('Utility summery'!M7&lt;0,"0",'Utility summery'!M7)</f>
        <v>166.27599999997184</v>
      </c>
      <c r="H3" s="565">
        <v>0</v>
      </c>
      <c r="I3" s="554">
        <f>IF('UTILITY REPORT 1'!G4&lt;0,"0",'UTILITY REPORT 1'!G4)</f>
        <v>164</v>
      </c>
      <c r="J3" s="565">
        <v>0</v>
      </c>
      <c r="K3" s="553">
        <f>'UTILITY REPORT 1'!C4</f>
        <v>17</v>
      </c>
      <c r="L3" s="555" t="e">
        <f>E3*F3+G3*H3+#REF!*#REF!+I3*J3</f>
        <v>#REF!</v>
      </c>
    </row>
    <row r="4" spans="1:12">
      <c r="A4" s="550" t="s">
        <v>284</v>
      </c>
      <c r="B4" s="551">
        <f t="shared" ref="B4:B30" si="0">B3+1</f>
        <v>3</v>
      </c>
      <c r="C4" s="551">
        <v>3</v>
      </c>
      <c r="D4" s="552">
        <v>2020</v>
      </c>
      <c r="E4" s="553">
        <f>'UTILITY REPORT 1'!F5</f>
        <v>4636</v>
      </c>
      <c r="F4" s="554">
        <f>('UTILITY REPORT 1'!E5*'UTILITY REPORT 1'!D5)/'UTILITY REPORT 1'!F5</f>
        <v>0.4489387402933564</v>
      </c>
      <c r="G4" s="554">
        <f>IF('Utility summery'!M8&lt;0,"0",'Utility summery'!M8)</f>
        <v>108.59200000003331</v>
      </c>
      <c r="H4" s="565">
        <v>0</v>
      </c>
      <c r="I4" s="554">
        <f>IF('UTILITY REPORT 1'!G5&lt;0,"0",'UTILITY REPORT 1'!G5)</f>
        <v>164</v>
      </c>
      <c r="J4" s="565">
        <v>0</v>
      </c>
      <c r="K4" s="553">
        <f>'UTILITY REPORT 1'!C5</f>
        <v>12</v>
      </c>
      <c r="L4" s="555" t="e">
        <f>E4*F4+G4*H4+#REF!*#REF!+I4*J4</f>
        <v>#REF!</v>
      </c>
    </row>
    <row r="5" spans="1:12">
      <c r="A5" s="550" t="s">
        <v>284</v>
      </c>
      <c r="B5" s="551">
        <f t="shared" si="0"/>
        <v>4</v>
      </c>
      <c r="C5" s="551">
        <v>3</v>
      </c>
      <c r="D5" s="552">
        <v>2020</v>
      </c>
      <c r="E5" s="553">
        <f>'UTILITY REPORT 1'!F6</f>
        <v>6200</v>
      </c>
      <c r="F5" s="554">
        <f>('UTILITY REPORT 1'!E6*'UTILITY REPORT 1'!D6)/'UTILITY REPORT 1'!F6</f>
        <v>0.39053064516129032</v>
      </c>
      <c r="G5" s="554">
        <f>IF('Utility summery'!M9&lt;0,"0",'Utility summery'!M9)</f>
        <v>105.60000000000001</v>
      </c>
      <c r="H5" s="565">
        <v>0</v>
      </c>
      <c r="I5" s="554">
        <f>IF('UTILITY REPORT 1'!G6&lt;0,"0",'UTILITY REPORT 1'!G6)</f>
        <v>163</v>
      </c>
      <c r="J5" s="565">
        <v>0</v>
      </c>
      <c r="K5" s="553">
        <f>'UTILITY REPORT 1'!C6</f>
        <v>77</v>
      </c>
      <c r="L5" s="555" t="e">
        <f>E5*F5+G5*H5+#REF!*#REF!+I5*J5</f>
        <v>#REF!</v>
      </c>
    </row>
    <row r="6" spans="1:12">
      <c r="A6" s="550" t="s">
        <v>284</v>
      </c>
      <c r="B6" s="551">
        <f t="shared" si="0"/>
        <v>5</v>
      </c>
      <c r="C6" s="551">
        <v>3</v>
      </c>
      <c r="D6" s="552">
        <v>2020</v>
      </c>
      <c r="E6" s="553">
        <f>'UTILITY REPORT 1'!F7</f>
        <v>6603</v>
      </c>
      <c r="F6" s="554">
        <f>('UTILITY REPORT 1'!E7*'UTILITY REPORT 1'!D7)/'UTILITY REPORT 1'!F7</f>
        <v>0.39227169468423445</v>
      </c>
      <c r="G6" s="554">
        <f>IF('Utility summery'!M10&lt;0,"0",'Utility summery'!M10)</f>
        <v>103.83999999996159</v>
      </c>
      <c r="H6" s="565">
        <v>0</v>
      </c>
      <c r="I6" s="554">
        <f>IF('UTILITY REPORT 1'!G7&lt;0,"0",'UTILITY REPORT 1'!G7)</f>
        <v>177</v>
      </c>
      <c r="J6" s="565">
        <v>0</v>
      </c>
      <c r="K6" s="553">
        <f>'UTILITY REPORT 1'!C7</f>
        <v>77</v>
      </c>
      <c r="L6" s="555" t="e">
        <f>E6*F6+G6*H6+#REF!*#REF!+I6*J6</f>
        <v>#REF!</v>
      </c>
    </row>
    <row r="7" spans="1:12">
      <c r="A7" s="550" t="s">
        <v>284</v>
      </c>
      <c r="B7" s="551">
        <f t="shared" si="0"/>
        <v>6</v>
      </c>
      <c r="C7" s="551">
        <v>3</v>
      </c>
      <c r="D7" s="552">
        <v>2020</v>
      </c>
      <c r="E7" s="553">
        <f>'UTILITY REPORT 1'!F8</f>
        <v>6820</v>
      </c>
      <c r="F7" s="554">
        <f>('UTILITY REPORT 1'!E8*'UTILITY REPORT 1'!D8)/'UTILITY REPORT 1'!F8</f>
        <v>0.39504105571847503</v>
      </c>
      <c r="G7" s="554">
        <f>IF('Utility summery'!M11&lt;0,"0",'Utility summery'!M11)</f>
        <v>87.340000000025611</v>
      </c>
      <c r="H7" s="565">
        <v>0</v>
      </c>
      <c r="I7" s="554">
        <f>IF('UTILITY REPORT 1'!G8&lt;0,"0",'UTILITY REPORT 1'!G8)</f>
        <v>191</v>
      </c>
      <c r="J7" s="565">
        <v>0</v>
      </c>
      <c r="K7" s="553">
        <f>'UTILITY REPORT 1'!C8</f>
        <v>77</v>
      </c>
      <c r="L7" s="555" t="e">
        <f>E7*F7+G7*H7+#REF!*#REF!+I7*J7</f>
        <v>#REF!</v>
      </c>
    </row>
    <row r="8" spans="1:12">
      <c r="A8" s="550" t="s">
        <v>284</v>
      </c>
      <c r="B8" s="551">
        <f t="shared" si="0"/>
        <v>7</v>
      </c>
      <c r="C8" s="551">
        <v>3</v>
      </c>
      <c r="D8" s="552">
        <v>2020</v>
      </c>
      <c r="E8" s="553">
        <f>'UTILITY REPORT 1'!F9</f>
        <v>7352</v>
      </c>
      <c r="F8" s="554">
        <f>('UTILITY REPORT 1'!E9*'UTILITY REPORT 1'!D9)/'UTILITY REPORT 1'!F9</f>
        <v>0.39639553862894455</v>
      </c>
      <c r="G8" s="554">
        <f>IF('Utility summery'!M12&lt;0,"0",'Utility summery'!M12)</f>
        <v>104.98400000000257</v>
      </c>
      <c r="H8" s="565">
        <v>0</v>
      </c>
      <c r="I8" s="554">
        <f>IF('UTILITY REPORT 1'!G9&lt;0,"0",'UTILITY REPORT 1'!G9)</f>
        <v>168</v>
      </c>
      <c r="J8" s="565">
        <v>0</v>
      </c>
      <c r="K8" s="553">
        <f>'UTILITY REPORT 1'!C9</f>
        <v>77</v>
      </c>
      <c r="L8" s="555" t="e">
        <f>E8*F8+G8*H8+#REF!*#REF!+I8*J8</f>
        <v>#REF!</v>
      </c>
    </row>
    <row r="9" spans="1:12">
      <c r="A9" s="550" t="s">
        <v>284</v>
      </c>
      <c r="B9" s="551">
        <f t="shared" si="0"/>
        <v>8</v>
      </c>
      <c r="C9" s="551">
        <v>3</v>
      </c>
      <c r="D9" s="552">
        <v>2020</v>
      </c>
      <c r="E9" s="553">
        <f>'UTILITY REPORT 1'!F10</f>
        <v>6190</v>
      </c>
      <c r="F9" s="554">
        <f>('UTILITY REPORT 1'!E10*'UTILITY REPORT 1'!D10)/'UTILITY REPORT 1'!F10</f>
        <v>0.43357673667205171</v>
      </c>
      <c r="G9" s="554">
        <f>IF('Utility summery'!M13&lt;0,"0",'Utility summery'!M13)</f>
        <v>123.7720000000205</v>
      </c>
      <c r="H9" s="565">
        <v>0</v>
      </c>
      <c r="I9" s="554">
        <f>IF('UTILITY REPORT 1'!G10&lt;0,"0",'UTILITY REPORT 1'!G10)</f>
        <v>131</v>
      </c>
      <c r="J9" s="565">
        <v>0</v>
      </c>
      <c r="K9" s="553">
        <f>'UTILITY REPORT 1'!C10</f>
        <v>46</v>
      </c>
      <c r="L9" s="555" t="e">
        <f>E9*F9+G9*H9+#REF!*#REF!+I9*J9</f>
        <v>#REF!</v>
      </c>
    </row>
    <row r="10" spans="1:12">
      <c r="A10" s="550" t="s">
        <v>284</v>
      </c>
      <c r="B10" s="551">
        <f t="shared" si="0"/>
        <v>9</v>
      </c>
      <c r="C10" s="551">
        <v>3</v>
      </c>
      <c r="D10" s="552">
        <v>2020</v>
      </c>
      <c r="E10" s="553">
        <f>'UTILITY REPORT 1'!F11</f>
        <v>4387</v>
      </c>
      <c r="F10" s="554">
        <f>('UTILITY REPORT 1'!E11*'UTILITY REPORT 1'!D11)/'UTILITY REPORT 1'!F11</f>
        <v>0.50899247777524503</v>
      </c>
      <c r="G10" s="554">
        <f>IF('Utility summery'!M14&lt;0,"0",'Utility summery'!M14)</f>
        <v>99.263999999989764</v>
      </c>
      <c r="H10" s="565">
        <v>0</v>
      </c>
      <c r="I10" s="554">
        <f>IF('UTILITY REPORT 1'!G11&lt;0,"0",'UTILITY REPORT 1'!G11)</f>
        <v>117</v>
      </c>
      <c r="J10" s="565">
        <v>0</v>
      </c>
      <c r="K10" s="553">
        <f>'UTILITY REPORT 1'!C11</f>
        <v>44</v>
      </c>
      <c r="L10" s="555" t="e">
        <f>E10*F10+G10*H10+#REF!*#REF!+I10*J10</f>
        <v>#REF!</v>
      </c>
    </row>
    <row r="11" spans="1:12">
      <c r="A11" s="550" t="s">
        <v>284</v>
      </c>
      <c r="B11" s="551">
        <f t="shared" si="0"/>
        <v>10</v>
      </c>
      <c r="C11" s="551">
        <v>3</v>
      </c>
      <c r="D11" s="552">
        <v>2020</v>
      </c>
      <c r="E11" s="553">
        <f>'UTILITY REPORT 1'!F12</f>
        <v>5593</v>
      </c>
      <c r="F11" s="554">
        <f>('UTILITY REPORT 1'!E12*'UTILITY REPORT 1'!D12)/'UTILITY REPORT 1'!F12</f>
        <v>0.38054711246200601</v>
      </c>
      <c r="G11" s="554">
        <f>IF('Utility summery'!M15&lt;0,"0",'Utility summery'!M15)</f>
        <v>104.54399999997696</v>
      </c>
      <c r="H11" s="565">
        <v>0</v>
      </c>
      <c r="I11" s="554">
        <f>IF('UTILITY REPORT 1'!G12&lt;0,"0",'UTILITY REPORT 1'!G12)</f>
        <v>129</v>
      </c>
      <c r="J11" s="565">
        <v>0</v>
      </c>
      <c r="K11" s="553">
        <f>'UTILITY REPORT 1'!C12</f>
        <v>0</v>
      </c>
      <c r="L11" s="555" t="e">
        <f>E11*F11+G11*H11+#REF!*#REF!+I11*J11</f>
        <v>#REF!</v>
      </c>
    </row>
    <row r="12" spans="1:12">
      <c r="A12" s="550" t="s">
        <v>284</v>
      </c>
      <c r="B12" s="551">
        <f t="shared" si="0"/>
        <v>11</v>
      </c>
      <c r="C12" s="551">
        <v>3</v>
      </c>
      <c r="D12" s="552">
        <v>2020</v>
      </c>
      <c r="E12" s="553">
        <f>'UTILITY REPORT 1'!F13</f>
        <v>4641</v>
      </c>
      <c r="F12" s="554">
        <f>('UTILITY REPORT 1'!E13*'UTILITY REPORT 1'!D13)/'UTILITY REPORT 1'!F13</f>
        <v>0.36799181210945914</v>
      </c>
      <c r="G12" s="554">
        <f>IF('Utility summery'!M16&lt;0,"0",'Utility summery'!M16)</f>
        <v>103.26800000000513</v>
      </c>
      <c r="H12" s="565">
        <v>0</v>
      </c>
      <c r="I12" s="554">
        <f>IF('UTILITY REPORT 1'!G13&lt;0,"0",'UTILITY REPORT 1'!G13)</f>
        <v>99</v>
      </c>
      <c r="J12" s="565">
        <v>0</v>
      </c>
      <c r="K12" s="553">
        <f>'UTILITY REPORT 1'!C13</f>
        <v>0</v>
      </c>
      <c r="L12" s="555" t="e">
        <f>E12*F12+G12*H12+#REF!*#REF!+I12*J12</f>
        <v>#REF!</v>
      </c>
    </row>
    <row r="13" spans="1:12">
      <c r="A13" s="550" t="s">
        <v>284</v>
      </c>
      <c r="B13" s="551">
        <f t="shared" si="0"/>
        <v>12</v>
      </c>
      <c r="C13" s="551">
        <v>3</v>
      </c>
      <c r="D13" s="552">
        <v>2020</v>
      </c>
      <c r="E13" s="553">
        <f>'UTILITY REPORT 1'!F14</f>
        <v>4209</v>
      </c>
      <c r="F13" s="554">
        <f>('UTILITY REPORT 1'!E14*'UTILITY REPORT 1'!D14)/'UTILITY REPORT 1'!F14</f>
        <v>0.65039201710620098</v>
      </c>
      <c r="G13" s="554">
        <f>IF('Utility summery'!M17&lt;0,"0",'Utility summery'!M17)</f>
        <v>84.611999999982075</v>
      </c>
      <c r="H13" s="565">
        <v>0</v>
      </c>
      <c r="I13" s="554">
        <f>IF('UTILITY REPORT 1'!G14&lt;0,"0",'UTILITY REPORT 1'!G14)</f>
        <v>77</v>
      </c>
      <c r="J13" s="565">
        <v>0</v>
      </c>
      <c r="K13" s="553">
        <f>'UTILITY REPORT 1'!C14</f>
        <v>4</v>
      </c>
      <c r="L13" s="555" t="e">
        <f>E13*F13+G13*H13+#REF!*#REF!+I13*J13</f>
        <v>#REF!</v>
      </c>
    </row>
    <row r="14" spans="1:12">
      <c r="A14" s="550" t="s">
        <v>284</v>
      </c>
      <c r="B14" s="551">
        <f t="shared" si="0"/>
        <v>13</v>
      </c>
      <c r="C14" s="551">
        <v>3</v>
      </c>
      <c r="D14" s="552">
        <v>2020</v>
      </c>
      <c r="E14" s="553">
        <f>'UTILITY REPORT 1'!F15</f>
        <v>3918</v>
      </c>
      <c r="F14" s="554">
        <f>('UTILITY REPORT 1'!E15*'UTILITY REPORT 1'!D15)/'UTILITY REPORT 1'!F15</f>
        <v>0.64781521184277702</v>
      </c>
      <c r="G14" s="554">
        <f>IF('Utility summery'!M18&lt;0,"0",'Utility summery'!M18)</f>
        <v>102.08000000005123</v>
      </c>
      <c r="H14" s="565">
        <v>0</v>
      </c>
      <c r="I14" s="554">
        <f>IF('UTILITY REPORT 1'!G15&lt;0,"0",'UTILITY REPORT 1'!G15)</f>
        <v>69</v>
      </c>
      <c r="J14" s="565">
        <v>0</v>
      </c>
      <c r="K14" s="553">
        <f>'UTILITY REPORT 1'!C15</f>
        <v>4</v>
      </c>
      <c r="L14" s="555" t="e">
        <f>E14*F14+G14*H14+#REF!*#REF!+I14*J14</f>
        <v>#REF!</v>
      </c>
    </row>
    <row r="15" spans="1:12">
      <c r="A15" s="550" t="s">
        <v>284</v>
      </c>
      <c r="B15" s="551">
        <f t="shared" si="0"/>
        <v>14</v>
      </c>
      <c r="C15" s="551">
        <v>3</v>
      </c>
      <c r="D15" s="552">
        <v>2020</v>
      </c>
      <c r="E15" s="553">
        <f>'UTILITY REPORT 1'!F16</f>
        <v>3497</v>
      </c>
      <c r="F15" s="554">
        <f>('UTILITY REPORT 1'!E16*'UTILITY REPORT 1'!D16)/'UTILITY REPORT 1'!F16</f>
        <v>0.37365742064626817</v>
      </c>
      <c r="G15" s="554">
        <f>IF('Utility summery'!M19&lt;0,"0",'Utility summery'!M19)</f>
        <v>89.319999999948791</v>
      </c>
      <c r="H15" s="565">
        <v>0</v>
      </c>
      <c r="I15" s="554">
        <f>IF('UTILITY REPORT 1'!G16&lt;0,"0",'UTILITY REPORT 1'!G16)</f>
        <v>72</v>
      </c>
      <c r="J15" s="565">
        <v>0</v>
      </c>
      <c r="K15" s="553">
        <f>'UTILITY REPORT 1'!C16</f>
        <v>4</v>
      </c>
      <c r="L15" s="555" t="e">
        <f>E15*F15+G15*H15+#REF!*#REF!+I15*J15</f>
        <v>#REF!</v>
      </c>
    </row>
    <row r="16" spans="1:12">
      <c r="A16" s="550" t="s">
        <v>284</v>
      </c>
      <c r="B16" s="551">
        <f t="shared" si="0"/>
        <v>15</v>
      </c>
      <c r="C16" s="551">
        <v>3</v>
      </c>
      <c r="D16" s="552">
        <v>2020</v>
      </c>
      <c r="E16" s="553">
        <f>'UTILITY REPORT 1'!F17</f>
        <v>3584</v>
      </c>
      <c r="F16" s="554">
        <f>('UTILITY REPORT 1'!E17*'UTILITY REPORT 1'!D17)/'UTILITY REPORT 1'!F17</f>
        <v>0.3966127232142857</v>
      </c>
      <c r="G16" s="554">
        <f>IF('Utility summery'!M20&lt;0,"0",'Utility summery'!M20)</f>
        <v>173.62400000002819</v>
      </c>
      <c r="H16" s="565">
        <v>0</v>
      </c>
      <c r="I16" s="554">
        <f>IF('UTILITY REPORT 1'!G17&lt;0,"0",'UTILITY REPORT 1'!G17)</f>
        <v>92</v>
      </c>
      <c r="J16" s="565">
        <v>0</v>
      </c>
      <c r="K16" s="553">
        <f>'UTILITY REPORT 1'!C17</f>
        <v>4</v>
      </c>
      <c r="L16" s="555" t="e">
        <f>E16*F16+G16*H16+#REF!*#REF!+I16*J16</f>
        <v>#REF!</v>
      </c>
    </row>
    <row r="17" spans="1:12">
      <c r="A17" s="550" t="s">
        <v>284</v>
      </c>
      <c r="B17" s="551">
        <f t="shared" si="0"/>
        <v>16</v>
      </c>
      <c r="C17" s="551">
        <v>3</v>
      </c>
      <c r="D17" s="552">
        <v>2020</v>
      </c>
      <c r="E17" s="553">
        <f>'UTILITY REPORT 1'!F18</f>
        <v>3345</v>
      </c>
      <c r="F17" s="554">
        <f>('UTILITY REPORT 1'!E18*'UTILITY REPORT 1'!D18)/'UTILITY REPORT 1'!F18</f>
        <v>0.40861584454409572</v>
      </c>
      <c r="G17" s="554">
        <f>IF('Utility summery'!M21&lt;0,"0",'Utility summery'!M21)</f>
        <v>84.7</v>
      </c>
      <c r="H17" s="565">
        <v>0</v>
      </c>
      <c r="I17" s="554">
        <f>IF('UTILITY REPORT 1'!G18&lt;0,"0",'UTILITY REPORT 1'!G18)</f>
        <v>90</v>
      </c>
      <c r="J17" s="565">
        <v>0</v>
      </c>
      <c r="K17" s="553">
        <f>'UTILITY REPORT 1'!C18</f>
        <v>5</v>
      </c>
      <c r="L17" s="555" t="e">
        <f>E17*F17+G17*H17+#REF!*#REF!+I17*J17</f>
        <v>#REF!</v>
      </c>
    </row>
    <row r="18" spans="1:12">
      <c r="A18" s="550" t="s">
        <v>284</v>
      </c>
      <c r="B18" s="551">
        <f t="shared" si="0"/>
        <v>17</v>
      </c>
      <c r="C18" s="551">
        <v>3</v>
      </c>
      <c r="D18" s="552">
        <v>2020</v>
      </c>
      <c r="E18" s="553">
        <f>'UTILITY REPORT 1'!F19</f>
        <v>3067</v>
      </c>
      <c r="F18" s="554">
        <f>('UTILITY REPORT 1'!E19*'UTILITY REPORT 1'!D19)/'UTILITY REPORT 1'!F19</f>
        <v>0.39628953374633197</v>
      </c>
      <c r="G18" s="554">
        <f>IF('Utility summery'!M22&lt;0,"0",'Utility summery'!M22)</f>
        <v>80.036000000010247</v>
      </c>
      <c r="H18" s="565">
        <v>0</v>
      </c>
      <c r="I18" s="554">
        <f>IF('UTILITY REPORT 1'!G19&lt;0,"0",'UTILITY REPORT 1'!G19)</f>
        <v>72</v>
      </c>
      <c r="J18" s="565">
        <v>0</v>
      </c>
      <c r="K18" s="553">
        <f>'UTILITY REPORT 1'!C19</f>
        <v>6</v>
      </c>
      <c r="L18" s="555" t="e">
        <f>E18*F18+G18*H18+#REF!*#REF!+I18*J18</f>
        <v>#REF!</v>
      </c>
    </row>
    <row r="19" spans="1:12">
      <c r="A19" s="550" t="s">
        <v>284</v>
      </c>
      <c r="B19" s="551">
        <f t="shared" si="0"/>
        <v>18</v>
      </c>
      <c r="C19" s="551">
        <v>3</v>
      </c>
      <c r="D19" s="552">
        <v>2020</v>
      </c>
      <c r="E19" s="553">
        <f>'UTILITY REPORT 1'!F20</f>
        <v>2970</v>
      </c>
      <c r="F19" s="554">
        <f>('UTILITY REPORT 1'!E20*'UTILITY REPORT 1'!D20)/'UTILITY REPORT 1'!F20</f>
        <v>0.40162289562289566</v>
      </c>
      <c r="G19" s="554">
        <f>IF('Utility summery'!M23&lt;0,"0",'Utility summery'!M23)</f>
        <v>79.68400000000257</v>
      </c>
      <c r="H19" s="565">
        <v>0</v>
      </c>
      <c r="I19" s="554">
        <f>IF('UTILITY REPORT 1'!G20&lt;0,"0",'UTILITY REPORT 1'!G20)</f>
        <v>57</v>
      </c>
      <c r="J19" s="565">
        <v>0</v>
      </c>
      <c r="K19" s="553">
        <f>'UTILITY REPORT 1'!C20</f>
        <v>5</v>
      </c>
      <c r="L19" s="555" t="e">
        <f>E19*F19+G19*H19+#REF!*#REF!+I19*J19</f>
        <v>#REF!</v>
      </c>
    </row>
    <row r="20" spans="1:12">
      <c r="A20" s="550" t="s">
        <v>284</v>
      </c>
      <c r="B20" s="551">
        <f t="shared" si="0"/>
        <v>19</v>
      </c>
      <c r="C20" s="551">
        <v>3</v>
      </c>
      <c r="D20" s="552">
        <v>2020</v>
      </c>
      <c r="E20" s="553">
        <f>'UTILITY REPORT 1'!F21</f>
        <v>2841</v>
      </c>
      <c r="F20" s="554">
        <f>('UTILITY REPORT 1'!E21*'UTILITY REPORT 1'!D21)/'UTILITY REPORT 1'!F21</f>
        <v>0.38781063005983807</v>
      </c>
      <c r="G20" s="554">
        <f>IF('Utility summery'!M24&lt;0,"0",'Utility summery'!M24)</f>
        <v>68.595999999984642</v>
      </c>
      <c r="H20" s="565">
        <v>0</v>
      </c>
      <c r="I20" s="554">
        <f>IF('UTILITY REPORT 1'!G21&lt;0,"0",'UTILITY REPORT 1'!G21)</f>
        <v>72</v>
      </c>
      <c r="J20" s="565">
        <v>0</v>
      </c>
      <c r="K20" s="553">
        <f>'UTILITY REPORT 1'!C21</f>
        <v>1</v>
      </c>
      <c r="L20" s="555" t="e">
        <f>E20*F20+G20*H20+#REF!*#REF!+I20*J20</f>
        <v>#REF!</v>
      </c>
    </row>
    <row r="21" spans="1:12">
      <c r="A21" s="550" t="s">
        <v>284</v>
      </c>
      <c r="B21" s="551">
        <f t="shared" si="0"/>
        <v>20</v>
      </c>
      <c r="C21" s="551">
        <v>3</v>
      </c>
      <c r="D21" s="552">
        <v>2020</v>
      </c>
      <c r="E21" s="553">
        <f>'UTILITY REPORT 1'!F22</f>
        <v>2962</v>
      </c>
      <c r="F21" s="554">
        <f>('UTILITY REPORT 1'!E22*'UTILITY REPORT 1'!D22)/'UTILITY REPORT 1'!F22</f>
        <v>0.40392640108035116</v>
      </c>
      <c r="G21" s="554">
        <f>IF('Utility summery'!M25&lt;0,"0",'Utility summery'!M25)</f>
        <v>81.268000000005131</v>
      </c>
      <c r="H21" s="565">
        <v>0</v>
      </c>
      <c r="I21" s="554">
        <f>IF('UTILITY REPORT 1'!G22&lt;0,"0",'UTILITY REPORT 1'!G22)</f>
        <v>65</v>
      </c>
      <c r="J21" s="565">
        <v>0</v>
      </c>
      <c r="K21" s="553">
        <f>'UTILITY REPORT 1'!C22</f>
        <v>0</v>
      </c>
      <c r="L21" s="555" t="e">
        <f>E21*F21+G21*H21+#REF!*#REF!+I21*J21</f>
        <v>#REF!</v>
      </c>
    </row>
    <row r="22" spans="1:12">
      <c r="A22" s="550" t="s">
        <v>284</v>
      </c>
      <c r="B22" s="551">
        <f t="shared" si="0"/>
        <v>21</v>
      </c>
      <c r="C22" s="551">
        <v>3</v>
      </c>
      <c r="D22" s="552">
        <v>2020</v>
      </c>
      <c r="E22" s="553">
        <f>'UTILITY REPORT 1'!F23</f>
        <v>2667</v>
      </c>
      <c r="F22" s="554">
        <f>('UTILITY REPORT 1'!E23*'UTILITY REPORT 1'!D23)/'UTILITY REPORT 1'!F23</f>
        <v>0.41360329958755154</v>
      </c>
      <c r="G22" s="554">
        <f>IF('Utility summery'!M26&lt;0,"0",'Utility summery'!M26)</f>
        <v>48.707999999966709</v>
      </c>
      <c r="H22" s="565">
        <v>0</v>
      </c>
      <c r="I22" s="554">
        <f>IF('UTILITY REPORT 1'!G23&lt;0,"0",'UTILITY REPORT 1'!G23)</f>
        <v>67</v>
      </c>
      <c r="J22" s="565">
        <v>0</v>
      </c>
      <c r="K22" s="553">
        <f>'UTILITY REPORT 1'!C23</f>
        <v>0</v>
      </c>
      <c r="L22" s="555" t="e">
        <f>E22*F22+G22*H22+#REF!*#REF!+I22*J22</f>
        <v>#REF!</v>
      </c>
    </row>
    <row r="23" spans="1:12">
      <c r="A23" s="550" t="s">
        <v>284</v>
      </c>
      <c r="B23" s="551">
        <f t="shared" si="0"/>
        <v>22</v>
      </c>
      <c r="C23" s="551">
        <v>3</v>
      </c>
      <c r="D23" s="552">
        <v>2020</v>
      </c>
      <c r="E23" s="553">
        <f>'UTILITY REPORT 1'!F24</f>
        <v>2379</v>
      </c>
      <c r="F23" s="554">
        <f>('UTILITY REPORT 1'!E24*'UTILITY REPORT 1'!D24)/'UTILITY REPORT 1'!F24</f>
        <v>0.38997477931904162</v>
      </c>
      <c r="G23" s="554">
        <f>IF('Utility summery'!M27&lt;0,"0",'Utility summery'!M27)</f>
        <v>47.344000000040985</v>
      </c>
      <c r="H23" s="565">
        <v>0</v>
      </c>
      <c r="I23" s="554">
        <f>IF('UTILITY REPORT 1'!G24&lt;0,"0",'UTILITY REPORT 1'!G24)</f>
        <v>73</v>
      </c>
      <c r="J23" s="565">
        <v>0</v>
      </c>
      <c r="K23" s="553">
        <f>'UTILITY REPORT 1'!C24</f>
        <v>3</v>
      </c>
      <c r="L23" s="555" t="e">
        <f>E23*F23+G23*H23+#REF!*#REF!+I23*J23</f>
        <v>#REF!</v>
      </c>
    </row>
    <row r="24" spans="1:12">
      <c r="A24" s="550" t="s">
        <v>284</v>
      </c>
      <c r="B24" s="551">
        <f t="shared" si="0"/>
        <v>23</v>
      </c>
      <c r="C24" s="551">
        <v>3</v>
      </c>
      <c r="D24" s="552">
        <v>2020</v>
      </c>
      <c r="E24" s="553">
        <f>'UTILITY REPORT 1'!F25</f>
        <v>2523</v>
      </c>
      <c r="F24" s="554">
        <f>('UTILITY REPORT 1'!E25*'UTILITY REPORT 1'!D25)/'UTILITY REPORT 1'!F25</f>
        <v>0.44725723345223944</v>
      </c>
      <c r="G24" s="554">
        <f>IF('Utility summery'!M28&lt;0,"0",'Utility summery'!M28)</f>
        <v>62.391999999969272</v>
      </c>
      <c r="H24" s="565">
        <v>0</v>
      </c>
      <c r="I24" s="554">
        <f>IF('UTILITY REPORT 1'!G25&lt;0,"0",'UTILITY REPORT 1'!G25)</f>
        <v>67</v>
      </c>
      <c r="J24" s="565">
        <v>0</v>
      </c>
      <c r="K24" s="553">
        <f>'UTILITY REPORT 1'!C25</f>
        <v>3</v>
      </c>
      <c r="L24" s="555" t="e">
        <f>E24*F24+G24*H24+#REF!*#REF!+I24*J24</f>
        <v>#REF!</v>
      </c>
    </row>
    <row r="25" spans="1:12">
      <c r="A25" s="550" t="s">
        <v>284</v>
      </c>
      <c r="B25" s="551">
        <f t="shared" si="0"/>
        <v>24</v>
      </c>
      <c r="C25" s="551">
        <v>3</v>
      </c>
      <c r="D25" s="552">
        <v>2020</v>
      </c>
      <c r="E25" s="553">
        <f>'UTILITY REPORT 1'!F26</f>
        <v>2586</v>
      </c>
      <c r="F25" s="554">
        <f>('UTILITY REPORT 1'!E26*'UTILITY REPORT 1'!D26)/'UTILITY REPORT 1'!F26</f>
        <v>0.37452436194895594</v>
      </c>
      <c r="G25" s="554">
        <f>IF('Utility summery'!M29&lt;0,"0",'Utility summery'!M29)</f>
        <v>59.663999999989763</v>
      </c>
      <c r="H25" s="565">
        <v>0</v>
      </c>
      <c r="I25" s="554">
        <f>IF('UTILITY REPORT 1'!G26&lt;0,"0",'UTILITY REPORT 1'!G26)</f>
        <v>73</v>
      </c>
      <c r="J25" s="565">
        <v>0</v>
      </c>
      <c r="K25" s="553">
        <f>'UTILITY REPORT 1'!C26</f>
        <v>2</v>
      </c>
      <c r="L25" s="555" t="e">
        <f>E25*F25+G25*H25+#REF!*#REF!+I25*J25</f>
        <v>#REF!</v>
      </c>
    </row>
    <row r="26" spans="1:12">
      <c r="A26" s="550" t="s">
        <v>284</v>
      </c>
      <c r="B26" s="551">
        <f>B25+1</f>
        <v>25</v>
      </c>
      <c r="C26" s="551">
        <v>3</v>
      </c>
      <c r="D26" s="552">
        <v>2020</v>
      </c>
      <c r="E26" s="553">
        <f>'UTILITY REPORT 1'!F27</f>
        <v>2334</v>
      </c>
      <c r="F26" s="554">
        <f>('UTILITY REPORT 1'!E27*'UTILITY REPORT 1'!D27)/'UTILITY REPORT 1'!F27</f>
        <v>0.4511482433590403</v>
      </c>
      <c r="G26" s="554">
        <f>IF('Utility summery'!M30&lt;0,"0",'Utility summery'!M30)</f>
        <v>32.120000000012809</v>
      </c>
      <c r="H26" s="565">
        <v>0</v>
      </c>
      <c r="I26" s="554">
        <f>IF('UTILITY REPORT 1'!G27&lt;0,"0",'UTILITY REPORT 1'!G27)</f>
        <v>60</v>
      </c>
      <c r="J26" s="565">
        <v>0</v>
      </c>
      <c r="K26" s="553">
        <f>'UTILITY REPORT 1'!C27</f>
        <v>2</v>
      </c>
      <c r="L26" s="555" t="e">
        <f>E26*F26+G26*H26+#REF!*#REF!+I26*J26</f>
        <v>#REF!</v>
      </c>
    </row>
    <row r="27" spans="1:12">
      <c r="A27" s="550" t="s">
        <v>284</v>
      </c>
      <c r="B27" s="551">
        <f t="shared" si="0"/>
        <v>26</v>
      </c>
      <c r="C27" s="551">
        <v>3</v>
      </c>
      <c r="D27" s="552">
        <v>2020</v>
      </c>
      <c r="E27" s="553">
        <f>'UTILITY REPORT 1'!F28</f>
        <v>2348</v>
      </c>
      <c r="F27" s="554">
        <f>('UTILITY REPORT 1'!E28*'UTILITY REPORT 1'!D28)/'UTILITY REPORT 1'!F28</f>
        <v>0.45233390119250422</v>
      </c>
      <c r="G27" s="554">
        <f>IF('Utility summery'!M31&lt;0,"0",'Utility summery'!M31)</f>
        <v>73.040000000025614</v>
      </c>
      <c r="H27" s="565">
        <v>0</v>
      </c>
      <c r="I27" s="554">
        <f>IF('UTILITY REPORT 1'!G28&lt;0,"0",'UTILITY REPORT 1'!G28)</f>
        <v>50</v>
      </c>
      <c r="J27" s="565">
        <v>0</v>
      </c>
      <c r="K27" s="553">
        <f>'UTILITY REPORT 1'!C28</f>
        <v>1</v>
      </c>
      <c r="L27" s="555" t="e">
        <f>E27*F27+G27*H27+#REF!*#REF!+I27*J27</f>
        <v>#REF!</v>
      </c>
    </row>
    <row r="28" spans="1:12">
      <c r="A28" s="550" t="s">
        <v>284</v>
      </c>
      <c r="B28" s="551">
        <f t="shared" si="0"/>
        <v>27</v>
      </c>
      <c r="C28" s="551">
        <v>3</v>
      </c>
      <c r="D28" s="552">
        <v>2020</v>
      </c>
      <c r="E28" s="553">
        <f>'UTILITY REPORT 1'!F29</f>
        <v>2205</v>
      </c>
      <c r="F28" s="554">
        <f>('UTILITY REPORT 1'!E29*'UTILITY REPORT 1'!D29)/'UTILITY REPORT 1'!F29</f>
        <v>0.43456235827664402</v>
      </c>
      <c r="G28" s="554">
        <f>IF('Utility summery'!M32&lt;0,"0",'Utility summery'!M32)</f>
        <v>29.436000000010246</v>
      </c>
      <c r="H28" s="565">
        <v>0</v>
      </c>
      <c r="I28" s="554">
        <f>IF('UTILITY REPORT 1'!G29&lt;0,"0",'UTILITY REPORT 1'!G29)</f>
        <v>96</v>
      </c>
      <c r="J28" s="565">
        <v>0</v>
      </c>
      <c r="K28" s="553">
        <f>'UTILITY REPORT 1'!C29</f>
        <v>1</v>
      </c>
      <c r="L28" s="555" t="e">
        <f>E28*F28+G28*H28+#REF!*#REF!+I28*J28</f>
        <v>#REF!</v>
      </c>
    </row>
    <row r="29" spans="1:12">
      <c r="A29" s="550" t="s">
        <v>284</v>
      </c>
      <c r="B29" s="551">
        <f t="shared" si="0"/>
        <v>28</v>
      </c>
      <c r="C29" s="551">
        <v>3</v>
      </c>
      <c r="D29" s="552">
        <v>2020</v>
      </c>
      <c r="E29" s="553">
        <f>'UTILITY REPORT 1'!F30</f>
        <v>1991</v>
      </c>
      <c r="F29" s="554">
        <f>('UTILITY REPORT 1'!E30*'UTILITY REPORT 1'!D30)/'UTILITY REPORT 1'!F30</f>
        <v>0.40746358613761929</v>
      </c>
      <c r="G29" s="554">
        <f>IF('Utility summery'!M33&lt;0,"0",'Utility summery'!M33)</f>
        <v>25.079999999987198</v>
      </c>
      <c r="H29" s="565">
        <v>0</v>
      </c>
      <c r="I29" s="554">
        <f>IF('UTILITY REPORT 1'!G30&lt;0,"0",'UTILITY REPORT 1'!G30)</f>
        <v>32</v>
      </c>
      <c r="J29" s="565">
        <v>0</v>
      </c>
      <c r="K29" s="553">
        <f>'UTILITY REPORT 1'!C30</f>
        <v>1</v>
      </c>
      <c r="L29" s="555" t="e">
        <f>E29*F29+G29*H29+#REF!*#REF!+I29*J29</f>
        <v>#REF!</v>
      </c>
    </row>
    <row r="30" spans="1:12">
      <c r="A30" s="550" t="s">
        <v>284</v>
      </c>
      <c r="B30" s="551">
        <f t="shared" si="0"/>
        <v>29</v>
      </c>
      <c r="C30" s="551">
        <v>3</v>
      </c>
      <c r="D30" s="552">
        <v>2020</v>
      </c>
      <c r="E30" s="553">
        <f>'UTILITY REPORT 1'!F31</f>
        <v>1988</v>
      </c>
      <c r="F30" s="554">
        <f>('UTILITY REPORT 1'!E31*'UTILITY REPORT 1'!D31)/'UTILITY REPORT 1'!F31</f>
        <v>0.4222987927565392</v>
      </c>
      <c r="G30" s="554">
        <f>IF('Utility summery'!M34&lt;0,"0",'Utility summery'!M34)</f>
        <v>24.947999999992319</v>
      </c>
      <c r="H30" s="565">
        <v>0</v>
      </c>
      <c r="I30" s="554">
        <f>IF('UTILITY REPORT 1'!G31&lt;0,"0",'UTILITY REPORT 1'!G31)</f>
        <v>38</v>
      </c>
      <c r="J30" s="565">
        <v>0</v>
      </c>
      <c r="K30" s="553">
        <f>'UTILITY REPORT 1'!C31</f>
        <v>0</v>
      </c>
      <c r="L30" s="555" t="e">
        <f>E30*F30+G30*H30+#REF!*#REF!+I30*J30</f>
        <v>#REF!</v>
      </c>
    </row>
    <row r="31" spans="1:12">
      <c r="A31" s="550" t="s">
        <v>284</v>
      </c>
      <c r="B31" s="551">
        <v>30</v>
      </c>
      <c r="C31" s="551">
        <v>3</v>
      </c>
      <c r="D31" s="552">
        <v>2020</v>
      </c>
      <c r="E31" s="553">
        <f>'UTILITY REPORT 1'!F32</f>
        <v>2056</v>
      </c>
      <c r="F31" s="554">
        <f>('UTILITY REPORT 1'!E32*'UTILITY REPORT 1'!D32)/'UTILITY REPORT 1'!F32</f>
        <v>0.45494163424124512</v>
      </c>
      <c r="G31" s="554">
        <f>IF('Utility summery'!M35&lt;0,"0",'Utility summery'!M35)</f>
        <v>27.059999999974391</v>
      </c>
      <c r="H31" s="565">
        <v>0</v>
      </c>
      <c r="I31" s="554">
        <f>IF('UTILITY REPORT 1'!G32&lt;0,"0",'UTILITY REPORT 1'!G32)</f>
        <v>46</v>
      </c>
      <c r="J31" s="565">
        <v>0</v>
      </c>
      <c r="K31" s="553">
        <f>'UTILITY REPORT 1'!C32</f>
        <v>0</v>
      </c>
      <c r="L31" s="555" t="e">
        <f>E31*F31+G31*H31+#REF!*#REF!+I31*J31</f>
        <v>#REF!</v>
      </c>
    </row>
    <row r="32" spans="1:12">
      <c r="A32" s="550" t="s">
        <v>284</v>
      </c>
      <c r="B32" s="551">
        <v>31</v>
      </c>
      <c r="C32" s="551">
        <v>3</v>
      </c>
      <c r="D32" s="552">
        <v>2020</v>
      </c>
      <c r="E32" s="553">
        <f>'UTILITY REPORT 1'!F33</f>
        <v>2243</v>
      </c>
      <c r="F32" s="554">
        <f>('UTILITY REPORT 1'!E33*'UTILITY REPORT 1'!D33)/'UTILITY REPORT 1'!F33</f>
        <v>0.41012483281319662</v>
      </c>
      <c r="G32" s="554">
        <f>IF('Utility summery'!M36&lt;0,"0",'Utility summery'!M36)</f>
        <v>23.364000000053785</v>
      </c>
      <c r="H32" s="565">
        <v>0</v>
      </c>
      <c r="I32" s="554">
        <f>IF('UTILITY REPORT 1'!G33&lt;0,"0",'UTILITY REPORT 1'!G33)</f>
        <v>64</v>
      </c>
      <c r="J32" s="565">
        <v>0</v>
      </c>
      <c r="K32" s="553">
        <f>'UTILITY REPORT 1'!C33</f>
        <v>0</v>
      </c>
    </row>
    <row r="33" spans="6:10">
      <c r="F33" s="554"/>
      <c r="G33" s="554"/>
      <c r="H33" s="565"/>
      <c r="I33" s="554" t="s">
        <v>254</v>
      </c>
      <c r="J33" s="565"/>
    </row>
    <row r="34" spans="6:10">
      <c r="F34" s="554"/>
      <c r="G34" s="554"/>
      <c r="H34" s="565"/>
      <c r="I34" s="554"/>
      <c r="J34" s="565"/>
    </row>
    <row r="35" spans="6:10">
      <c r="F35" s="554"/>
      <c r="G35" s="554"/>
      <c r="H35" s="565"/>
      <c r="I35" s="554"/>
      <c r="J35" s="565"/>
    </row>
    <row r="36" spans="6:10">
      <c r="F36" s="554"/>
      <c r="G36" s="554"/>
      <c r="H36" s="565"/>
      <c r="I36" s="554"/>
      <c r="J36" s="565"/>
    </row>
    <row r="37" spans="6:10">
      <c r="F37" s="554"/>
      <c r="G37" s="554"/>
      <c r="H37" s="565"/>
      <c r="I37" s="554"/>
      <c r="J37" s="565"/>
    </row>
    <row r="38" spans="6:10">
      <c r="F38" s="554"/>
      <c r="G38" s="554"/>
      <c r="H38" s="565"/>
      <c r="I38" s="554"/>
      <c r="J38" s="565"/>
    </row>
    <row r="39" spans="6:10">
      <c r="F39" s="554"/>
      <c r="G39" s="554"/>
      <c r="H39" s="565"/>
      <c r="I39" s="554"/>
      <c r="J39" s="56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B33" sqref="B33"/>
    </sheetView>
  </sheetViews>
  <sheetFormatPr defaultColWidth="11.5703125" defaultRowHeight="12.75"/>
  <cols>
    <col min="1" max="1" width="12.42578125" style="12" customWidth="1"/>
    <col min="2" max="3" width="11.5703125" style="551"/>
    <col min="4" max="4" width="13.42578125" style="552" customWidth="1"/>
    <col min="5" max="6" width="12.5703125" style="12" customWidth="1"/>
    <col min="7" max="7" width="12.5703125" style="553" customWidth="1"/>
    <col min="8" max="10" width="11.5703125" style="12"/>
    <col min="11" max="11" width="12.5703125" style="553" customWidth="1"/>
    <col min="12" max="12" width="11.5703125" style="12"/>
    <col min="13" max="14" width="11.5703125" style="553"/>
    <col min="15" max="15" width="0" style="12" hidden="1" customWidth="1"/>
    <col min="16" max="16" width="13.42578125" style="12" customWidth="1"/>
    <col min="17" max="22" width="11.5703125" style="12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549" customFormat="1" ht="60.75" thickBot="1">
      <c r="A1" s="627" t="s">
        <v>272</v>
      </c>
      <c r="B1" s="628" t="s">
        <v>273</v>
      </c>
      <c r="C1" s="628" t="s">
        <v>274</v>
      </c>
      <c r="D1" s="629" t="s">
        <v>275</v>
      </c>
      <c r="E1" s="630" t="s">
        <v>288</v>
      </c>
      <c r="F1" s="630" t="s">
        <v>287</v>
      </c>
      <c r="G1" s="631" t="s">
        <v>276</v>
      </c>
      <c r="H1" s="630" t="s">
        <v>285</v>
      </c>
      <c r="I1" s="630" t="s">
        <v>286</v>
      </c>
      <c r="J1" s="630" t="s">
        <v>289</v>
      </c>
      <c r="K1" s="631" t="s">
        <v>267</v>
      </c>
      <c r="L1" s="630" t="s">
        <v>290</v>
      </c>
      <c r="M1" s="631" t="s">
        <v>291</v>
      </c>
      <c r="N1" s="631" t="s">
        <v>292</v>
      </c>
      <c r="O1" s="631" t="s">
        <v>292</v>
      </c>
      <c r="P1" s="631" t="s">
        <v>306</v>
      </c>
      <c r="Q1" s="631" t="s">
        <v>293</v>
      </c>
      <c r="R1" s="631" t="s">
        <v>294</v>
      </c>
      <c r="S1" s="631" t="s">
        <v>295</v>
      </c>
      <c r="T1" s="631" t="s">
        <v>296</v>
      </c>
      <c r="U1" s="631" t="s">
        <v>297</v>
      </c>
      <c r="V1" s="631" t="s">
        <v>298</v>
      </c>
      <c r="W1" s="634" t="s">
        <v>307</v>
      </c>
      <c r="X1" s="635" t="s">
        <v>282</v>
      </c>
    </row>
    <row r="2" spans="1:24">
      <c r="A2" s="622" t="s">
        <v>284</v>
      </c>
      <c r="B2" s="623">
        <v>1</v>
      </c>
      <c r="C2" s="623">
        <v>3</v>
      </c>
      <c r="D2" s="624">
        <v>2020</v>
      </c>
      <c r="E2" s="625">
        <f>'UTILITY REPORT 1'!I3</f>
        <v>321.77</v>
      </c>
      <c r="F2" s="625">
        <f>'UTILITY REPORT 1'!E3</f>
        <v>2246.69</v>
      </c>
      <c r="G2" s="626">
        <f>'UTILITY REPORT 1'!F3</f>
        <v>5649</v>
      </c>
      <c r="H2" s="625">
        <f>IF('Kit report'!F4&lt;0,"0",'Kit report'!F4)</f>
        <v>552.00000000004366</v>
      </c>
      <c r="I2" s="625">
        <f>IF('Kit report'!X4&lt;0,"0",'Kit report'!X4)</f>
        <v>979.99999999992724</v>
      </c>
      <c r="J2" s="625">
        <f>IF('Utility summery'!H6&lt;0,"0",'Utility summery'!H6)</f>
        <v>100</v>
      </c>
      <c r="K2" s="626">
        <f>IF('UTILITY REPORT 1'!H3&lt;0,"0",'UTILITY REPORT 1'!H3)</f>
        <v>182</v>
      </c>
      <c r="L2" s="625">
        <f>'Water-Meter'!K6</f>
        <v>3</v>
      </c>
      <c r="M2" s="626">
        <f>'Water-Meter'!H6</f>
        <v>0</v>
      </c>
      <c r="N2" s="626">
        <f>'Water-Meter'!Q6</f>
        <v>11</v>
      </c>
      <c r="O2" s="625" t="e">
        <f>K2*E2+H2*I2+#REF!*#REF!+J2*L2</f>
        <v>#REF!</v>
      </c>
      <c r="P2" s="625">
        <f>'Water-Meter'!E6</f>
        <v>146</v>
      </c>
      <c r="Q2" s="541">
        <f>IF('Water-Meter'!U6&lt;0,"0",'Water-Meter'!U6)</f>
        <v>58</v>
      </c>
      <c r="R2" s="541">
        <f>IF('Water-Meter'!X6&lt;0,"0",'Water-Meter'!X6)</f>
        <v>42</v>
      </c>
      <c r="S2" s="541">
        <f>IF('Water-Meter'!AA6&lt;0,"0",'Water-Meter'!AA6)</f>
        <v>68</v>
      </c>
      <c r="T2" s="541">
        <f>IF('Water-Meter'!AD6&lt;0,"0",'Water-Meter'!AD6)</f>
        <v>14</v>
      </c>
      <c r="U2" s="541">
        <f>IF('Water-Meter'!AG6&lt;0,"0",'Water-Meter'!AG6)</f>
        <v>24</v>
      </c>
      <c r="V2" s="541">
        <f>IF('Water-Meter'!AJ6&lt;0,"0",'Water-Meter'!AJ6)</f>
        <v>0</v>
      </c>
      <c r="W2" s="31">
        <f>'Water-Meter'!AN6</f>
        <v>206</v>
      </c>
      <c r="X2" s="636">
        <f>Total!K2</f>
        <v>46</v>
      </c>
    </row>
    <row r="3" spans="1:24">
      <c r="A3" s="620" t="s">
        <v>284</v>
      </c>
      <c r="B3" s="617">
        <f>B2+1</f>
        <v>2</v>
      </c>
      <c r="C3" s="623">
        <v>3</v>
      </c>
      <c r="D3" s="624">
        <v>2020</v>
      </c>
      <c r="E3" s="618">
        <f>'UTILITY REPORT 1'!I4</f>
        <v>281.34000000000003</v>
      </c>
      <c r="F3" s="618">
        <f>'UTILITY REPORT 1'!E4</f>
        <v>2125.4799999999996</v>
      </c>
      <c r="G3" s="619">
        <f>'UTILITY REPORT 1'!F4</f>
        <v>5543</v>
      </c>
      <c r="H3" s="618">
        <f>IF('Kit report'!F5&lt;0,"0",'Kit report'!F5)</f>
        <v>527.99999999995634</v>
      </c>
      <c r="I3" s="618">
        <f>IF('Kit report'!X5&lt;0,"0",'Kit report'!X5)</f>
        <v>939.99999999996362</v>
      </c>
      <c r="J3" s="618">
        <f>IF('Utility summery'!H7&lt;0,"0",'Utility summery'!H7)</f>
        <v>105</v>
      </c>
      <c r="K3" s="619">
        <f>IF('UTILITY REPORT 1'!H4&lt;0,"0",'UTILITY REPORT 1'!H4)</f>
        <v>184</v>
      </c>
      <c r="L3" s="618">
        <f>'Water-Meter'!K7</f>
        <v>3</v>
      </c>
      <c r="M3" s="619">
        <f>'Water-Meter'!H7</f>
        <v>0</v>
      </c>
      <c r="N3" s="619">
        <f>'Water-Meter'!Q7</f>
        <v>9</v>
      </c>
      <c r="O3" s="618" t="e">
        <f>K3*E3+H3*I3+#REF!*#REF!+J3*L3</f>
        <v>#REF!</v>
      </c>
      <c r="P3" s="625">
        <f>'Water-Meter'!E7</f>
        <v>164</v>
      </c>
      <c r="Q3" s="323">
        <f>IF('Water-Meter'!U7&lt;0,"0",'Water-Meter'!U7)</f>
        <v>59</v>
      </c>
      <c r="R3" s="323">
        <f>IF('Water-Meter'!X7&lt;0,"0",'Water-Meter'!X7)</f>
        <v>52</v>
      </c>
      <c r="S3" s="323">
        <f>IF('Water-Meter'!AA7&lt;0,"0",'Water-Meter'!AA7)</f>
        <v>46</v>
      </c>
      <c r="T3" s="323">
        <f>IF('Water-Meter'!AD7&lt;0,"0",'Water-Meter'!AD7)</f>
        <v>8</v>
      </c>
      <c r="U3" s="323">
        <f>IF('Water-Meter'!AG7&lt;0,"0",'Water-Meter'!AG7)</f>
        <v>26</v>
      </c>
      <c r="V3" s="323">
        <f>IF('Water-Meter'!AJ7&lt;0,"0",'Water-Meter'!AJ7)</f>
        <v>0</v>
      </c>
      <c r="W3" s="31">
        <f>'Water-Meter'!AN7</f>
        <v>191</v>
      </c>
      <c r="X3" s="636">
        <f>Total!K3</f>
        <v>17</v>
      </c>
    </row>
    <row r="4" spans="1:24">
      <c r="A4" s="620" t="s">
        <v>284</v>
      </c>
      <c r="B4" s="617">
        <f t="shared" ref="B4:B30" si="0">B3+1</f>
        <v>3</v>
      </c>
      <c r="C4" s="623">
        <v>3</v>
      </c>
      <c r="D4" s="624">
        <v>2020</v>
      </c>
      <c r="E4" s="618">
        <f>'UTILITY REPORT 1'!I5</f>
        <v>55.1</v>
      </c>
      <c r="F4" s="618">
        <f>'UTILITY REPORT 1'!E5</f>
        <v>2081.2800000000002</v>
      </c>
      <c r="G4" s="619">
        <f>'UTILITY REPORT 1'!F5</f>
        <v>4636</v>
      </c>
      <c r="H4" s="618">
        <f>IF('Kit report'!F6&lt;0,"0",'Kit report'!F6)</f>
        <v>480</v>
      </c>
      <c r="I4" s="618">
        <f>IF('Kit report'!X6&lt;0,"0",'Kit report'!X6)</f>
        <v>639.99999999996362</v>
      </c>
      <c r="J4" s="618">
        <f>IF('Utility summery'!H8&lt;0,"0",'Utility summery'!H8)</f>
        <v>79</v>
      </c>
      <c r="K4" s="619">
        <f>IF('UTILITY REPORT 1'!H5&lt;0,"0",'UTILITY REPORT 1'!H5)</f>
        <v>151</v>
      </c>
      <c r="L4" s="618">
        <f>'Water-Meter'!K8</f>
        <v>2</v>
      </c>
      <c r="M4" s="619">
        <f>'Water-Meter'!H8</f>
        <v>0</v>
      </c>
      <c r="N4" s="619">
        <f>'Water-Meter'!Q8</f>
        <v>10</v>
      </c>
      <c r="O4" s="618" t="e">
        <f>K4*E4+H4*I4+#REF!*#REF!+J4*L4</f>
        <v>#REF!</v>
      </c>
      <c r="P4" s="625">
        <f>'Water-Meter'!E8</f>
        <v>164</v>
      </c>
      <c r="Q4" s="323">
        <f>IF('Water-Meter'!U8&lt;0,"0",'Water-Meter'!U8)</f>
        <v>57</v>
      </c>
      <c r="R4" s="323">
        <f>IF('Water-Meter'!X8&lt;0,"0",'Water-Meter'!X8)</f>
        <v>66</v>
      </c>
      <c r="S4" s="323">
        <f>IF('Water-Meter'!AA8&lt;0,"0",'Water-Meter'!AA8)</f>
        <v>59</v>
      </c>
      <c r="T4" s="323">
        <f>IF('Water-Meter'!AD8&lt;0,"0",'Water-Meter'!AD8)</f>
        <v>14</v>
      </c>
      <c r="U4" s="323">
        <f>IF('Water-Meter'!AG8&lt;0,"0",'Water-Meter'!AG8)</f>
        <v>25</v>
      </c>
      <c r="V4" s="323">
        <f>IF('Water-Meter'!AJ8&lt;0,"0",'Water-Meter'!AJ8)</f>
        <v>0</v>
      </c>
      <c r="W4" s="31">
        <f>'Water-Meter'!AN8</f>
        <v>221</v>
      </c>
      <c r="X4" s="636">
        <f>Total!K4</f>
        <v>12</v>
      </c>
    </row>
    <row r="5" spans="1:24">
      <c r="A5" s="620" t="s">
        <v>284</v>
      </c>
      <c r="B5" s="617">
        <f t="shared" si="0"/>
        <v>4</v>
      </c>
      <c r="C5" s="623">
        <v>3</v>
      </c>
      <c r="D5" s="624">
        <v>2020</v>
      </c>
      <c r="E5" s="618">
        <f>'UTILITY REPORT 1'!I6</f>
        <v>149.94</v>
      </c>
      <c r="F5" s="618">
        <f>'UTILITY REPORT 1'!E6</f>
        <v>2421.29</v>
      </c>
      <c r="G5" s="619">
        <f>'UTILITY REPORT 1'!F6</f>
        <v>6200</v>
      </c>
      <c r="H5" s="618">
        <f>IF('Kit report'!F7&lt;0,"0",'Kit report'!F7)</f>
        <v>552.00000000004366</v>
      </c>
      <c r="I5" s="618">
        <f>IF('Kit report'!X7&lt;0,"0",'Kit report'!X7)</f>
        <v>1660.0000000000364</v>
      </c>
      <c r="J5" s="618">
        <f>IF('Utility summery'!H9&lt;0,"0",'Utility summery'!H9)</f>
        <v>81</v>
      </c>
      <c r="K5" s="619">
        <f>IF('UTILITY REPORT 1'!H6&lt;0,"0",'UTILITY REPORT 1'!H6)</f>
        <v>153</v>
      </c>
      <c r="L5" s="618">
        <f>'Water-Meter'!K9</f>
        <v>4</v>
      </c>
      <c r="M5" s="619">
        <f>'Water-Meter'!H9</f>
        <v>0</v>
      </c>
      <c r="N5" s="619">
        <f>'Water-Meter'!Q9</f>
        <v>11</v>
      </c>
      <c r="O5" s="618" t="e">
        <f>K5*E5+H5*I5+#REF!*#REF!+J5*L5</f>
        <v>#REF!</v>
      </c>
      <c r="P5" s="625">
        <f>'Water-Meter'!E9</f>
        <v>163</v>
      </c>
      <c r="Q5" s="323">
        <f>IF('Water-Meter'!U9&lt;0,"0",'Water-Meter'!U9)</f>
        <v>58</v>
      </c>
      <c r="R5" s="323">
        <f>IF('Water-Meter'!X9&lt;0,"0",'Water-Meter'!X9)</f>
        <v>61</v>
      </c>
      <c r="S5" s="323">
        <f>IF('Water-Meter'!AA9&lt;0,"0",'Water-Meter'!AA9)</f>
        <v>47</v>
      </c>
      <c r="T5" s="323">
        <f>IF('Water-Meter'!AD9&lt;0,"0",'Water-Meter'!AD9)</f>
        <v>11</v>
      </c>
      <c r="U5" s="323">
        <f>IF('Water-Meter'!AG9&lt;0,"0",'Water-Meter'!AG9)</f>
        <v>26</v>
      </c>
      <c r="V5" s="323">
        <f>IF('Water-Meter'!AJ9&lt;0,"0",'Water-Meter'!AJ9)</f>
        <v>0</v>
      </c>
      <c r="W5" s="31">
        <f>'Water-Meter'!AN9</f>
        <v>203</v>
      </c>
      <c r="X5" s="636">
        <f>Total!K5</f>
        <v>77</v>
      </c>
    </row>
    <row r="6" spans="1:24">
      <c r="A6" s="620" t="s">
        <v>284</v>
      </c>
      <c r="B6" s="617">
        <f t="shared" si="0"/>
        <v>5</v>
      </c>
      <c r="C6" s="623">
        <v>3</v>
      </c>
      <c r="D6" s="624">
        <v>2020</v>
      </c>
      <c r="E6" s="618">
        <f>'UTILITY REPORT 1'!I7</f>
        <v>44.9</v>
      </c>
      <c r="F6" s="618">
        <f>'UTILITY REPORT 1'!E7</f>
        <v>2590.17</v>
      </c>
      <c r="G6" s="619">
        <f>'UTILITY REPORT 1'!F7</f>
        <v>6603</v>
      </c>
      <c r="H6" s="618">
        <f>IF('Kit report'!F8&lt;0,"0",'Kit report'!F8)</f>
        <v>563.99999999986903</v>
      </c>
      <c r="I6" s="618">
        <f>IF('Kit report'!X8&lt;0,"0",'Kit report'!X8)</f>
        <v>1039.9999999999636</v>
      </c>
      <c r="J6" s="618">
        <f>IF('Utility summery'!H10&lt;0,"0",'Utility summery'!H10)</f>
        <v>136</v>
      </c>
      <c r="K6" s="619">
        <f>IF('UTILITY REPORT 1'!H7&lt;0,"0",'UTILITY REPORT 1'!H7)</f>
        <v>159</v>
      </c>
      <c r="L6" s="618">
        <f>'Water-Meter'!K10</f>
        <v>3</v>
      </c>
      <c r="M6" s="619">
        <f>'Water-Meter'!H10</f>
        <v>0</v>
      </c>
      <c r="N6" s="619">
        <f>'Water-Meter'!Q10</f>
        <v>18</v>
      </c>
      <c r="O6" s="618" t="e">
        <f>K6*E6+H6*I6+#REF!*#REF!+J6*L6</f>
        <v>#REF!</v>
      </c>
      <c r="P6" s="625">
        <f>'Water-Meter'!E10</f>
        <v>177</v>
      </c>
      <c r="Q6" s="323">
        <f>IF('Water-Meter'!U10&lt;0,"0",'Water-Meter'!U10)</f>
        <v>63</v>
      </c>
      <c r="R6" s="323">
        <f>IF('Water-Meter'!X10&lt;0,"0",'Water-Meter'!X10)</f>
        <v>72</v>
      </c>
      <c r="S6" s="323">
        <f>IF('Water-Meter'!AA10&lt;0,"0",'Water-Meter'!AA10)</f>
        <v>61</v>
      </c>
      <c r="T6" s="323">
        <f>IF('Water-Meter'!AD10&lt;0,"0",'Water-Meter'!AD10)</f>
        <v>16</v>
      </c>
      <c r="U6" s="323">
        <f>IF('Water-Meter'!AG10&lt;0,"0",'Water-Meter'!AG10)</f>
        <v>23</v>
      </c>
      <c r="V6" s="323">
        <f>IF('Water-Meter'!AJ10&lt;0,"0",'Water-Meter'!AJ10)</f>
        <v>0</v>
      </c>
      <c r="W6" s="31">
        <f>'Water-Meter'!AN10</f>
        <v>235</v>
      </c>
      <c r="X6" s="636">
        <f>Total!K6</f>
        <v>77</v>
      </c>
    </row>
    <row r="7" spans="1:24">
      <c r="A7" s="620" t="s">
        <v>284</v>
      </c>
      <c r="B7" s="617">
        <f t="shared" si="0"/>
        <v>6</v>
      </c>
      <c r="C7" s="623">
        <v>3</v>
      </c>
      <c r="D7" s="624">
        <v>2020</v>
      </c>
      <c r="E7" s="618">
        <f>'UTILITY REPORT 1'!I8</f>
        <v>75.03</v>
      </c>
      <c r="F7" s="618">
        <f>'UTILITY REPORT 1'!E8</f>
        <v>2694.18</v>
      </c>
      <c r="G7" s="619">
        <f>'UTILITY REPORT 1'!F8</f>
        <v>6820</v>
      </c>
      <c r="H7" s="618">
        <f>IF('Kit report'!F9&lt;0,"0",'Kit report'!F9)</f>
        <v>576.00000000013097</v>
      </c>
      <c r="I7" s="618">
        <f>IF('Kit report'!X9&lt;0,"0",'Kit report'!X9)</f>
        <v>1160.0000000000364</v>
      </c>
      <c r="J7" s="618">
        <f>IF('Utility summery'!H11&lt;0,"0",'Utility summery'!H11)</f>
        <v>140</v>
      </c>
      <c r="K7" s="619">
        <f>IF('UTILITY REPORT 1'!H8&lt;0,"0",'UTILITY REPORT 1'!H8)</f>
        <v>125</v>
      </c>
      <c r="L7" s="618">
        <f>'Water-Meter'!K11</f>
        <v>4</v>
      </c>
      <c r="M7" s="619">
        <f>'Water-Meter'!H11</f>
        <v>0</v>
      </c>
      <c r="N7" s="619">
        <f>'Water-Meter'!Q11</f>
        <v>12</v>
      </c>
      <c r="O7" s="618" t="e">
        <f>K7*E7+H7*I7+#REF!*#REF!+J7*L7</f>
        <v>#REF!</v>
      </c>
      <c r="P7" s="625">
        <f>'Water-Meter'!E11</f>
        <v>191</v>
      </c>
      <c r="Q7" s="323">
        <f>IF('Water-Meter'!U11&lt;0,"0",'Water-Meter'!U11)</f>
        <v>56</v>
      </c>
      <c r="R7" s="323">
        <f>IF('Water-Meter'!X11&lt;0,"0",'Water-Meter'!X11)</f>
        <v>66</v>
      </c>
      <c r="S7" s="323">
        <f>IF('Water-Meter'!AA11&lt;0,"0",'Water-Meter'!AA11)</f>
        <v>62</v>
      </c>
      <c r="T7" s="323">
        <f>IF('Water-Meter'!AD11&lt;0,"0",'Water-Meter'!AD11)</f>
        <v>15</v>
      </c>
      <c r="U7" s="323">
        <f>IF('Water-Meter'!AG11&lt;0,"0",'Water-Meter'!AG11)</f>
        <v>25</v>
      </c>
      <c r="V7" s="323">
        <f>IF('Water-Meter'!AJ11&lt;0,"0",'Water-Meter'!AJ11)</f>
        <v>0</v>
      </c>
      <c r="W7" s="31">
        <f>'Water-Meter'!AN11</f>
        <v>224</v>
      </c>
      <c r="X7" s="636">
        <f>Total!K7</f>
        <v>77</v>
      </c>
    </row>
    <row r="8" spans="1:24">
      <c r="A8" s="620" t="s">
        <v>284</v>
      </c>
      <c r="B8" s="617">
        <f t="shared" si="0"/>
        <v>7</v>
      </c>
      <c r="C8" s="623">
        <v>3</v>
      </c>
      <c r="D8" s="624">
        <v>2020</v>
      </c>
      <c r="E8" s="618">
        <f>'UTILITY REPORT 1'!I9</f>
        <v>87.259999999999991</v>
      </c>
      <c r="F8" s="618">
        <f>'UTILITY REPORT 1'!E9</f>
        <v>2914.3</v>
      </c>
      <c r="G8" s="619">
        <f>'UTILITY REPORT 1'!F9</f>
        <v>7352</v>
      </c>
      <c r="H8" s="618">
        <f>IF('Kit report'!F10&lt;0,"0",'Kit report'!F10)</f>
        <v>707.99999999995634</v>
      </c>
      <c r="I8" s="618">
        <f>IF('Kit report'!X10&lt;0,"0",'Kit report'!X10)</f>
        <v>1160.0000000000364</v>
      </c>
      <c r="J8" s="618">
        <f>IF('Utility summery'!H12&lt;0,"0",'Utility summery'!H12)</f>
        <v>121</v>
      </c>
      <c r="K8" s="619">
        <f>IF('UTILITY REPORT 1'!H9&lt;0,"0",'UTILITY REPORT 1'!H9)</f>
        <v>155</v>
      </c>
      <c r="L8" s="618">
        <f>'Water-Meter'!K12</f>
        <v>3</v>
      </c>
      <c r="M8" s="619">
        <f>'Water-Meter'!H12</f>
        <v>0</v>
      </c>
      <c r="N8" s="619">
        <f>'Water-Meter'!Q12</f>
        <v>12</v>
      </c>
      <c r="O8" s="618" t="e">
        <f>K8*E8+H8*I8+#REF!*#REF!+J8*L8</f>
        <v>#REF!</v>
      </c>
      <c r="P8" s="625">
        <f>'Water-Meter'!E12</f>
        <v>168</v>
      </c>
      <c r="Q8" s="323">
        <f>IF('Water-Meter'!U12&lt;0,"0",'Water-Meter'!U12)</f>
        <v>57</v>
      </c>
      <c r="R8" s="323">
        <f>IF('Water-Meter'!X12&lt;0,"0",'Water-Meter'!X12)</f>
        <v>56</v>
      </c>
      <c r="S8" s="323">
        <f>IF('Water-Meter'!AA12&lt;0,"0",'Water-Meter'!AA12)</f>
        <v>29</v>
      </c>
      <c r="T8" s="323">
        <f>IF('Water-Meter'!AD12&lt;0,"0",'Water-Meter'!AD12)</f>
        <v>12</v>
      </c>
      <c r="U8" s="323">
        <f>IF('Water-Meter'!AG12&lt;0,"0",'Water-Meter'!AG12)</f>
        <v>23</v>
      </c>
      <c r="V8" s="323">
        <f>IF('Water-Meter'!AJ12&lt;0,"0",'Water-Meter'!AJ12)</f>
        <v>0</v>
      </c>
      <c r="W8" s="31">
        <f>'Water-Meter'!AN12</f>
        <v>177</v>
      </c>
      <c r="X8" s="636">
        <f>Total!K8</f>
        <v>77</v>
      </c>
    </row>
    <row r="9" spans="1:24">
      <c r="A9" s="620" t="s">
        <v>284</v>
      </c>
      <c r="B9" s="617">
        <f t="shared" si="0"/>
        <v>8</v>
      </c>
      <c r="C9" s="623">
        <v>3</v>
      </c>
      <c r="D9" s="624">
        <v>2020</v>
      </c>
      <c r="E9" s="618">
        <f>'UTILITY REPORT 1'!I10</f>
        <v>424.4</v>
      </c>
      <c r="F9" s="618">
        <f>'UTILITY REPORT 1'!E10</f>
        <v>2683.84</v>
      </c>
      <c r="G9" s="619">
        <f>'UTILITY REPORT 1'!F10</f>
        <v>6190</v>
      </c>
      <c r="H9" s="618">
        <f>IF('Kit report'!F11&lt;0,"0",'Kit report'!F11)</f>
        <v>563.99999999986903</v>
      </c>
      <c r="I9" s="618">
        <f>IF('Kit report'!X11&lt;0,"0",'Kit report'!X11)</f>
        <v>1260.0000000000364</v>
      </c>
      <c r="J9" s="618">
        <f>IF('Utility summery'!H13&lt;0,"0",'Utility summery'!H13)</f>
        <v>43</v>
      </c>
      <c r="K9" s="619">
        <f>IF('UTILITY REPORT 1'!H10&lt;0,"0",'UTILITY REPORT 1'!H10)</f>
        <v>183</v>
      </c>
      <c r="L9" s="618">
        <f>'Water-Meter'!K13</f>
        <v>3</v>
      </c>
      <c r="M9" s="619">
        <f>'Water-Meter'!H13</f>
        <v>0</v>
      </c>
      <c r="N9" s="619">
        <f>'Water-Meter'!Q13</f>
        <v>18</v>
      </c>
      <c r="O9" s="618" t="e">
        <f>K9*E9+H9*I9+#REF!*#REF!+J9*L9</f>
        <v>#REF!</v>
      </c>
      <c r="P9" s="625">
        <f>'Water-Meter'!E13</f>
        <v>131</v>
      </c>
      <c r="Q9" s="323">
        <f>IF('Water-Meter'!U13&lt;0,"0",'Water-Meter'!U13)</f>
        <v>58</v>
      </c>
      <c r="R9" s="323">
        <f>IF('Water-Meter'!X13&lt;0,"0",'Water-Meter'!X13)</f>
        <v>62</v>
      </c>
      <c r="S9" s="323">
        <f>IF('Water-Meter'!AA13&lt;0,"0",'Water-Meter'!AA13)</f>
        <v>18</v>
      </c>
      <c r="T9" s="323">
        <f>IF('Water-Meter'!AD13&lt;0,"0",'Water-Meter'!AD13)</f>
        <v>14</v>
      </c>
      <c r="U9" s="323">
        <f>IF('Water-Meter'!AG13&lt;0,"0",'Water-Meter'!AG13)</f>
        <v>24</v>
      </c>
      <c r="V9" s="323">
        <f>IF('Water-Meter'!AJ13&lt;0,"0",'Water-Meter'!AJ13)</f>
        <v>0</v>
      </c>
      <c r="W9" s="31">
        <f>'Water-Meter'!AN13</f>
        <v>176</v>
      </c>
      <c r="X9" s="636">
        <f>Total!K9</f>
        <v>46</v>
      </c>
    </row>
    <row r="10" spans="1:24">
      <c r="A10" s="620" t="s">
        <v>284</v>
      </c>
      <c r="B10" s="617">
        <f t="shared" si="0"/>
        <v>9</v>
      </c>
      <c r="C10" s="623">
        <v>3</v>
      </c>
      <c r="D10" s="624">
        <v>2020</v>
      </c>
      <c r="E10" s="618">
        <f>'UTILITY REPORT 1'!I11</f>
        <v>170.83999999999997</v>
      </c>
      <c r="F10" s="618">
        <f>'UTILITY REPORT 1'!E11</f>
        <v>2232.9499999999998</v>
      </c>
      <c r="G10" s="619">
        <f>'UTILITY REPORT 1'!F11</f>
        <v>4387</v>
      </c>
      <c r="H10" s="618">
        <f>IF('Kit report'!F12&lt;0,"0",'Kit report'!F12)</f>
        <v>528.00000000017462</v>
      </c>
      <c r="I10" s="618">
        <f>IF('Kit report'!X12&lt;0,"0",'Kit report'!X12)</f>
        <v>1100</v>
      </c>
      <c r="J10" s="618">
        <f>IF('Utility summery'!H14&lt;0,"0",'Utility summery'!H14)</f>
        <v>121</v>
      </c>
      <c r="K10" s="619">
        <f>IF('UTILITY REPORT 1'!H11&lt;0,"0",'UTILITY REPORT 1'!H11)</f>
        <v>183</v>
      </c>
      <c r="L10" s="618">
        <f>'Water-Meter'!K14</f>
        <v>3</v>
      </c>
      <c r="M10" s="619">
        <f>'Water-Meter'!H14</f>
        <v>0</v>
      </c>
      <c r="N10" s="619">
        <f>'Water-Meter'!Q14</f>
        <v>9</v>
      </c>
      <c r="O10" s="618" t="e">
        <f>K10*E10+H10*I10+#REF!*#REF!+J10*L10</f>
        <v>#REF!</v>
      </c>
      <c r="P10" s="625">
        <f>'Water-Meter'!E14</f>
        <v>117</v>
      </c>
      <c r="Q10" s="323">
        <f>IF('Water-Meter'!U14&lt;0,"0",'Water-Meter'!U14)</f>
        <v>55</v>
      </c>
      <c r="R10" s="323">
        <f>IF('Water-Meter'!X14&lt;0,"0",'Water-Meter'!X14)</f>
        <v>60</v>
      </c>
      <c r="S10" s="323">
        <f>IF('Water-Meter'!AA14&lt;0,"0",'Water-Meter'!AA14)</f>
        <v>52</v>
      </c>
      <c r="T10" s="323">
        <f>IF('Water-Meter'!AD14&lt;0,"0",'Water-Meter'!AD14)</f>
        <v>13</v>
      </c>
      <c r="U10" s="323">
        <f>IF('Water-Meter'!AG14&lt;0,"0",'Water-Meter'!AG14)</f>
        <v>26</v>
      </c>
      <c r="V10" s="323">
        <f>IF('Water-Meter'!AJ14&lt;0,"0",'Water-Meter'!AJ14)</f>
        <v>0</v>
      </c>
      <c r="W10" s="31">
        <f>'Water-Meter'!AN14</f>
        <v>206</v>
      </c>
      <c r="X10" s="636">
        <f>Total!K10</f>
        <v>44</v>
      </c>
    </row>
    <row r="11" spans="1:24">
      <c r="A11" s="620" t="s">
        <v>284</v>
      </c>
      <c r="B11" s="617">
        <f t="shared" si="0"/>
        <v>10</v>
      </c>
      <c r="C11" s="623">
        <v>3</v>
      </c>
      <c r="D11" s="624">
        <v>2020</v>
      </c>
      <c r="E11" s="618">
        <f>'UTILITY REPORT 1'!I12</f>
        <v>33.880000000000003</v>
      </c>
      <c r="F11" s="618">
        <f>'UTILITY REPORT 1'!E12</f>
        <v>2128.3999999999996</v>
      </c>
      <c r="G11" s="619">
        <f>'UTILITY REPORT 1'!F12</f>
        <v>5593</v>
      </c>
      <c r="H11" s="618">
        <f>IF('Kit report'!F13&lt;0,"0",'Kit report'!F13)</f>
        <v>551.99999999982538</v>
      </c>
      <c r="I11" s="618">
        <f>IF('Kit report'!X13&lt;0,"0",'Kit report'!X13)</f>
        <v>719.99999999989086</v>
      </c>
      <c r="J11" s="618">
        <f>IF('Utility summery'!H15&lt;0,"0",'Utility summery'!H15)</f>
        <v>126</v>
      </c>
      <c r="K11" s="619">
        <f>IF('UTILITY REPORT 1'!H12&lt;0,"0",'UTILITY REPORT 1'!H12)</f>
        <v>21</v>
      </c>
      <c r="L11" s="618">
        <f>'Water-Meter'!K15</f>
        <v>3</v>
      </c>
      <c r="M11" s="619">
        <f>'Water-Meter'!H15</f>
        <v>0</v>
      </c>
      <c r="N11" s="619">
        <f>'Water-Meter'!Q15</f>
        <v>10</v>
      </c>
      <c r="O11" s="618" t="e">
        <f>K11*E11+H11*I11+#REF!*#REF!+J11*L11</f>
        <v>#REF!</v>
      </c>
      <c r="P11" s="625">
        <f>'Water-Meter'!E15</f>
        <v>129</v>
      </c>
      <c r="Q11" s="323">
        <f>IF('Water-Meter'!U15&lt;0,"0",'Water-Meter'!U15)</f>
        <v>59</v>
      </c>
      <c r="R11" s="323">
        <f>IF('Water-Meter'!X15&lt;0,"0",'Water-Meter'!X15)</f>
        <v>63</v>
      </c>
      <c r="S11" s="323">
        <f>IF('Water-Meter'!AA15&lt;0,"0",'Water-Meter'!AA15)</f>
        <v>47</v>
      </c>
      <c r="T11" s="323">
        <f>IF('Water-Meter'!AD15&lt;0,"0",'Water-Meter'!AD15)</f>
        <v>14</v>
      </c>
      <c r="U11" s="323">
        <f>IF('Water-Meter'!AG15&lt;0,"0",'Water-Meter'!AG15)</f>
        <v>25</v>
      </c>
      <c r="V11" s="323">
        <f>IF('Water-Meter'!AJ15&lt;0,"0",'Water-Meter'!AJ15)</f>
        <v>0</v>
      </c>
      <c r="W11" s="31">
        <f>'Water-Meter'!AN15</f>
        <v>208</v>
      </c>
      <c r="X11" s="636">
        <f>Total!K11</f>
        <v>0</v>
      </c>
    </row>
    <row r="12" spans="1:24">
      <c r="A12" s="620" t="s">
        <v>284</v>
      </c>
      <c r="B12" s="617">
        <f t="shared" si="0"/>
        <v>11</v>
      </c>
      <c r="C12" s="623">
        <v>3</v>
      </c>
      <c r="D12" s="624">
        <v>2020</v>
      </c>
      <c r="E12" s="618">
        <f>'UTILITY REPORT 1'!I13</f>
        <v>204.76999999999998</v>
      </c>
      <c r="F12" s="618">
        <f>'UTILITY REPORT 1'!E13</f>
        <v>1707.85</v>
      </c>
      <c r="G12" s="619">
        <f>'UTILITY REPORT 1'!F13</f>
        <v>4641</v>
      </c>
      <c r="H12" s="618">
        <f>IF('Kit report'!F14&lt;0,"0",'Kit report'!F14)</f>
        <v>492.00000000004366</v>
      </c>
      <c r="I12" s="618">
        <f>IF('Kit report'!X14&lt;0,"0",'Kit report'!X14)</f>
        <v>660.00000000003638</v>
      </c>
      <c r="J12" s="618">
        <f>IF('Utility summery'!H16&lt;0,"0",'Utility summery'!H16)</f>
        <v>85</v>
      </c>
      <c r="K12" s="619">
        <f>IF('UTILITY REPORT 1'!H13&lt;0,"0",'UTILITY REPORT 1'!H13)</f>
        <v>87</v>
      </c>
      <c r="L12" s="618">
        <f>'Water-Meter'!K16</f>
        <v>3</v>
      </c>
      <c r="M12" s="619">
        <f>'Water-Meter'!H16</f>
        <v>0</v>
      </c>
      <c r="N12" s="619">
        <f>'Water-Meter'!Q16</f>
        <v>12</v>
      </c>
      <c r="O12" s="618" t="e">
        <f>K12*E12+H12*I12+#REF!*#REF!+J12*L12</f>
        <v>#REF!</v>
      </c>
      <c r="P12" s="625">
        <f>'Water-Meter'!E16</f>
        <v>99</v>
      </c>
      <c r="Q12" s="323">
        <f>IF('Water-Meter'!U16&lt;0,"0",'Water-Meter'!U16)</f>
        <v>65</v>
      </c>
      <c r="R12" s="323">
        <f>IF('Water-Meter'!X16&lt;0,"0",'Water-Meter'!X16)</f>
        <v>29</v>
      </c>
      <c r="S12" s="323">
        <f>IF('Water-Meter'!AA16&lt;0,"0",'Water-Meter'!AA16)</f>
        <v>54</v>
      </c>
      <c r="T12" s="323">
        <f>IF('Water-Meter'!AD16&lt;0,"0",'Water-Meter'!AD16)</f>
        <v>13</v>
      </c>
      <c r="U12" s="323">
        <f>IF('Water-Meter'!AG16&lt;0,"0",'Water-Meter'!AG16)</f>
        <v>24</v>
      </c>
      <c r="V12" s="323">
        <f>IF('Water-Meter'!AJ16&lt;0,"0",'Water-Meter'!AJ16)</f>
        <v>0</v>
      </c>
      <c r="W12" s="31">
        <f>'Water-Meter'!AN16</f>
        <v>185</v>
      </c>
      <c r="X12" s="636">
        <f>Total!K12</f>
        <v>0</v>
      </c>
    </row>
    <row r="13" spans="1:24">
      <c r="A13" s="620" t="s">
        <v>284</v>
      </c>
      <c r="B13" s="617">
        <f t="shared" si="0"/>
        <v>12</v>
      </c>
      <c r="C13" s="623">
        <v>3</v>
      </c>
      <c r="D13" s="624">
        <v>2020</v>
      </c>
      <c r="E13" s="618">
        <f>'UTILITY REPORT 1'!I14</f>
        <v>106.07</v>
      </c>
      <c r="F13" s="618">
        <f>'UTILITY REPORT 1'!E14</f>
        <v>2737.5</v>
      </c>
      <c r="G13" s="619">
        <f>'UTILITY REPORT 1'!F14</f>
        <v>4209</v>
      </c>
      <c r="H13" s="618">
        <f>IF('Kit report'!F15&lt;0,"0",'Kit report'!F15)</f>
        <v>516.00000000013097</v>
      </c>
      <c r="I13" s="618">
        <f>IF('Kit report'!X15&lt;0,"0",'Kit report'!X15)</f>
        <v>400</v>
      </c>
      <c r="J13" s="618">
        <f>IF('Utility summery'!H17&lt;0,"0",'Utility summery'!H17)</f>
        <v>82</v>
      </c>
      <c r="K13" s="619">
        <f>IF('UTILITY REPORT 1'!H14&lt;0,"0",'UTILITY REPORT 1'!H14)</f>
        <v>161</v>
      </c>
      <c r="L13" s="618">
        <f>'Water-Meter'!K17</f>
        <v>3</v>
      </c>
      <c r="M13" s="619">
        <f>'Water-Meter'!H17</f>
        <v>0</v>
      </c>
      <c r="N13" s="619">
        <f>'Water-Meter'!Q17</f>
        <v>4</v>
      </c>
      <c r="O13" s="618" t="e">
        <f>K13*E13+H13*I13+#REF!*#REF!+J13*L13</f>
        <v>#REF!</v>
      </c>
      <c r="P13" s="625">
        <f>'Water-Meter'!E17</f>
        <v>77</v>
      </c>
      <c r="Q13" s="323">
        <f>IF('Water-Meter'!U17&lt;0,"0",'Water-Meter'!U17)</f>
        <v>61</v>
      </c>
      <c r="R13" s="323">
        <f>IF('Water-Meter'!X17&lt;0,"0",'Water-Meter'!X17)</f>
        <v>27</v>
      </c>
      <c r="S13" s="323">
        <f>IF('Water-Meter'!AA17&lt;0,"0",'Water-Meter'!AA17)</f>
        <v>54</v>
      </c>
      <c r="T13" s="323">
        <f>IF('Water-Meter'!AD17&lt;0,"0",'Water-Meter'!AD17)</f>
        <v>14</v>
      </c>
      <c r="U13" s="323">
        <f>IF('Water-Meter'!AG17&lt;0,"0",'Water-Meter'!AG17)</f>
        <v>24</v>
      </c>
      <c r="V13" s="323">
        <f>IF('Water-Meter'!AJ17&lt;0,"0",'Water-Meter'!AJ17)</f>
        <v>24</v>
      </c>
      <c r="W13" s="31">
        <f>'Water-Meter'!AN17</f>
        <v>204</v>
      </c>
      <c r="X13" s="636">
        <f>Total!K13</f>
        <v>4</v>
      </c>
    </row>
    <row r="14" spans="1:24">
      <c r="A14" s="620" t="s">
        <v>284</v>
      </c>
      <c r="B14" s="617">
        <f t="shared" si="0"/>
        <v>13</v>
      </c>
      <c r="C14" s="623">
        <v>3</v>
      </c>
      <c r="D14" s="624">
        <v>2020</v>
      </c>
      <c r="E14" s="618">
        <f>'UTILITY REPORT 1'!I15</f>
        <v>233.75</v>
      </c>
      <c r="F14" s="618">
        <f>'UTILITY REPORT 1'!E15</f>
        <v>2538.1400000000003</v>
      </c>
      <c r="G14" s="619">
        <f>'UTILITY REPORT 1'!F15</f>
        <v>3918</v>
      </c>
      <c r="H14" s="618">
        <f>IF('Kit report'!F16&lt;0,"0",'Kit report'!F16)</f>
        <v>480</v>
      </c>
      <c r="I14" s="618">
        <f>IF('Kit report'!X16&lt;0,"0",'Kit report'!X16)</f>
        <v>400</v>
      </c>
      <c r="J14" s="618">
        <f>IF('Utility summery'!H18&lt;0,"0",'Utility summery'!H18)</f>
        <v>47</v>
      </c>
      <c r="K14" s="619">
        <f>IF('UTILITY REPORT 1'!H15&lt;0,"0",'UTILITY REPORT 1'!H15)</f>
        <v>148</v>
      </c>
      <c r="L14" s="618">
        <f>'Water-Meter'!K18</f>
        <v>3</v>
      </c>
      <c r="M14" s="619">
        <f>'Water-Meter'!H18</f>
        <v>0</v>
      </c>
      <c r="N14" s="619">
        <f>'Water-Meter'!Q18</f>
        <v>1</v>
      </c>
      <c r="O14" s="618" t="e">
        <f>K14*E14+H14*I14+#REF!*#REF!+J14*L14</f>
        <v>#REF!</v>
      </c>
      <c r="P14" s="625">
        <f>'Water-Meter'!E18</f>
        <v>69</v>
      </c>
      <c r="Q14" s="323">
        <f>IF('Water-Meter'!U18&lt;0,"0",'Water-Meter'!U18)</f>
        <v>63</v>
      </c>
      <c r="R14" s="323">
        <f>IF('Water-Meter'!X18&lt;0,"0",'Water-Meter'!X18)</f>
        <v>0</v>
      </c>
      <c r="S14" s="323">
        <f>IF('Water-Meter'!AA18&lt;0,"0",'Water-Meter'!AA18)</f>
        <v>58</v>
      </c>
      <c r="T14" s="323">
        <f>IF('Water-Meter'!AD18&lt;0,"0",'Water-Meter'!AD18)</f>
        <v>14</v>
      </c>
      <c r="U14" s="323">
        <f>IF('Water-Meter'!AG18&lt;0,"0",'Water-Meter'!AG18)</f>
        <v>23</v>
      </c>
      <c r="V14" s="323">
        <f>IF('Water-Meter'!AJ18&lt;0,"0",'Water-Meter'!AJ18)</f>
        <v>46</v>
      </c>
      <c r="W14" s="31">
        <f>'Water-Meter'!AN18</f>
        <v>204</v>
      </c>
      <c r="X14" s="636">
        <f>Total!K14</f>
        <v>4</v>
      </c>
    </row>
    <row r="15" spans="1:24">
      <c r="A15" s="620" t="s">
        <v>284</v>
      </c>
      <c r="B15" s="617">
        <f t="shared" si="0"/>
        <v>14</v>
      </c>
      <c r="C15" s="623">
        <v>3</v>
      </c>
      <c r="D15" s="624">
        <v>2020</v>
      </c>
      <c r="E15" s="618">
        <f>'UTILITY REPORT 1'!I16</f>
        <v>116.4</v>
      </c>
      <c r="F15" s="618">
        <f>'UTILITY REPORT 1'!E16</f>
        <v>1306.6799999999998</v>
      </c>
      <c r="G15" s="619">
        <f>'UTILITY REPORT 1'!F16</f>
        <v>3497</v>
      </c>
      <c r="H15" s="618">
        <f>IF('Kit report'!F17&lt;0,"0",'Kit report'!F17)</f>
        <v>347.99999999995634</v>
      </c>
      <c r="I15" s="618">
        <f>IF('Kit report'!X17&lt;0,"0",'Kit report'!X17)</f>
        <v>539.99999999996362</v>
      </c>
      <c r="J15" s="618">
        <f>IF('Utility summery'!H19&lt;0,"0",'Utility summery'!H19)</f>
        <v>62</v>
      </c>
      <c r="K15" s="619">
        <f>IF('UTILITY REPORT 1'!H16&lt;0,"0",'UTILITY REPORT 1'!H16)</f>
        <v>99</v>
      </c>
      <c r="L15" s="618">
        <f>'Water-Meter'!K19</f>
        <v>2</v>
      </c>
      <c r="M15" s="619">
        <f>'Water-Meter'!H19</f>
        <v>0</v>
      </c>
      <c r="N15" s="619">
        <f>'Water-Meter'!Q19</f>
        <v>7</v>
      </c>
      <c r="O15" s="618" t="e">
        <f>K15*E15+H15*I15+#REF!*#REF!+J15*L15</f>
        <v>#REF!</v>
      </c>
      <c r="P15" s="625">
        <f>'Water-Meter'!E19</f>
        <v>72</v>
      </c>
      <c r="Q15" s="323">
        <f>IF('Water-Meter'!U19&lt;0,"0",'Water-Meter'!U19)</f>
        <v>58</v>
      </c>
      <c r="R15" s="323">
        <f>IF('Water-Meter'!X19&lt;0,"0",'Water-Meter'!X19)</f>
        <v>0</v>
      </c>
      <c r="S15" s="323">
        <f>IF('Water-Meter'!AA19&lt;0,"0",'Water-Meter'!AA19)</f>
        <v>55</v>
      </c>
      <c r="T15" s="323">
        <f>IF('Water-Meter'!AD19&lt;0,"0",'Water-Meter'!AD19)</f>
        <v>14</v>
      </c>
      <c r="U15" s="323">
        <f>IF('Water-Meter'!AG19&lt;0,"0",'Water-Meter'!AG19)</f>
        <v>27</v>
      </c>
      <c r="V15" s="323">
        <f>IF('Water-Meter'!AJ19&lt;0,"0",'Water-Meter'!AJ19)</f>
        <v>44</v>
      </c>
      <c r="W15" s="31">
        <f>'Water-Meter'!AN19</f>
        <v>198</v>
      </c>
      <c r="X15" s="636">
        <f>Total!K15</f>
        <v>4</v>
      </c>
    </row>
    <row r="16" spans="1:24">
      <c r="A16" s="620" t="s">
        <v>284</v>
      </c>
      <c r="B16" s="617">
        <f t="shared" si="0"/>
        <v>15</v>
      </c>
      <c r="C16" s="623">
        <v>3</v>
      </c>
      <c r="D16" s="624">
        <v>2020</v>
      </c>
      <c r="E16" s="618">
        <f>'UTILITY REPORT 1'!I17</f>
        <v>287.96000000000004</v>
      </c>
      <c r="F16" s="618">
        <f>'UTILITY REPORT 1'!E17</f>
        <v>1421.46</v>
      </c>
      <c r="G16" s="619">
        <f>'UTILITY REPORT 1'!F17</f>
        <v>3584</v>
      </c>
      <c r="H16" s="618">
        <f>IF('Kit report'!F18&lt;0,"0",'Kit report'!F18)</f>
        <v>275.99999999991269</v>
      </c>
      <c r="I16" s="618">
        <f>IF('Kit report'!X18&lt;0,"0",'Kit report'!X18)</f>
        <v>440.00000000014552</v>
      </c>
      <c r="J16" s="618">
        <f>IF('Utility summery'!H20&lt;0,"0",'Utility summery'!H20)</f>
        <v>62</v>
      </c>
      <c r="K16" s="619">
        <f>IF('UTILITY REPORT 1'!H17&lt;0,"0",'UTILITY REPORT 1'!H17)</f>
        <v>47</v>
      </c>
      <c r="L16" s="618">
        <f>'Water-Meter'!K20</f>
        <v>2</v>
      </c>
      <c r="M16" s="619">
        <f>'Water-Meter'!H20</f>
        <v>0</v>
      </c>
      <c r="N16" s="619">
        <f>'Water-Meter'!Q20</f>
        <v>9</v>
      </c>
      <c r="O16" s="618" t="e">
        <f>K16*E16+H16*I16+#REF!*#REF!+J16*L16</f>
        <v>#REF!</v>
      </c>
      <c r="P16" s="625">
        <f>'Water-Meter'!E20</f>
        <v>92</v>
      </c>
      <c r="Q16" s="323">
        <f>IF('Water-Meter'!U20&lt;0,"0",'Water-Meter'!U20)</f>
        <v>54</v>
      </c>
      <c r="R16" s="323">
        <f>IF('Water-Meter'!X20&lt;0,"0",'Water-Meter'!X20)</f>
        <v>0</v>
      </c>
      <c r="S16" s="323">
        <f>IF('Water-Meter'!AA20&lt;0,"0",'Water-Meter'!AA20)</f>
        <v>54</v>
      </c>
      <c r="T16" s="323">
        <f>IF('Water-Meter'!AD20&lt;0,"0",'Water-Meter'!AD20)</f>
        <v>14</v>
      </c>
      <c r="U16" s="323">
        <f>IF('Water-Meter'!AG20&lt;0,"0",'Water-Meter'!AG20)</f>
        <v>23</v>
      </c>
      <c r="V16" s="323">
        <f>IF('Water-Meter'!AJ20&lt;0,"0",'Water-Meter'!AJ20)</f>
        <v>35</v>
      </c>
      <c r="W16" s="31">
        <f>'Water-Meter'!AN20</f>
        <v>180</v>
      </c>
      <c r="X16" s="636">
        <f>Total!K16</f>
        <v>4</v>
      </c>
    </row>
    <row r="17" spans="1:24">
      <c r="A17" s="620" t="s">
        <v>284</v>
      </c>
      <c r="B17" s="617">
        <f t="shared" si="0"/>
        <v>16</v>
      </c>
      <c r="C17" s="623">
        <v>3</v>
      </c>
      <c r="D17" s="624">
        <v>2020</v>
      </c>
      <c r="E17" s="618">
        <f>'UTILITY REPORT 1'!I18</f>
        <v>79.289999999999992</v>
      </c>
      <c r="F17" s="618">
        <f>'UTILITY REPORT 1'!E18</f>
        <v>1366.8200000000002</v>
      </c>
      <c r="G17" s="619">
        <f>'UTILITY REPORT 1'!F18</f>
        <v>3345</v>
      </c>
      <c r="H17" s="618">
        <f>IF('Kit report'!F19&lt;0,"0",'Kit report'!F19)</f>
        <v>252.00000000004366</v>
      </c>
      <c r="I17" s="618">
        <f>IF('Kit report'!X19&lt;0,"0",'Kit report'!X19)</f>
        <v>559.99999999985448</v>
      </c>
      <c r="J17" s="618">
        <f>IF('Utility summery'!H21&lt;0,"0",'Utility summery'!H21)</f>
        <v>66</v>
      </c>
      <c r="K17" s="619">
        <f>IF('UTILITY REPORT 1'!H18&lt;0,"0",'UTILITY REPORT 1'!H18)</f>
        <v>58</v>
      </c>
      <c r="L17" s="618">
        <f>'Water-Meter'!K21</f>
        <v>2</v>
      </c>
      <c r="M17" s="619">
        <f>'Water-Meter'!H21</f>
        <v>0</v>
      </c>
      <c r="N17" s="619">
        <f>'Water-Meter'!Q21</f>
        <v>7</v>
      </c>
      <c r="O17" s="618" t="e">
        <f>K17*E17+H17*I17+#REF!*#REF!+J17*L17</f>
        <v>#REF!</v>
      </c>
      <c r="P17" s="625">
        <f>'Water-Meter'!E21</f>
        <v>90</v>
      </c>
      <c r="Q17" s="323">
        <f>IF('Water-Meter'!U21&lt;0,"0",'Water-Meter'!U21)</f>
        <v>65</v>
      </c>
      <c r="R17" s="323">
        <f>IF('Water-Meter'!X21&lt;0,"0",'Water-Meter'!X21)</f>
        <v>0</v>
      </c>
      <c r="S17" s="323">
        <f>IF('Water-Meter'!AA21&lt;0,"0",'Water-Meter'!AA21)</f>
        <v>5</v>
      </c>
      <c r="T17" s="323">
        <f>IF('Water-Meter'!AD21&lt;0,"0",'Water-Meter'!AD21)</f>
        <v>2</v>
      </c>
      <c r="U17" s="323">
        <f>IF('Water-Meter'!AG21&lt;0,"0",'Water-Meter'!AG21)</f>
        <v>23</v>
      </c>
      <c r="V17" s="323">
        <f>IF('Water-Meter'!AJ21&lt;0,"0",'Water-Meter'!AJ21)</f>
        <v>13</v>
      </c>
      <c r="W17" s="31">
        <f>'Water-Meter'!AN21</f>
        <v>108</v>
      </c>
      <c r="X17" s="636">
        <f>Total!K17</f>
        <v>5</v>
      </c>
    </row>
    <row r="18" spans="1:24">
      <c r="A18" s="620" t="s">
        <v>284</v>
      </c>
      <c r="B18" s="617">
        <f t="shared" si="0"/>
        <v>17</v>
      </c>
      <c r="C18" s="623">
        <v>3</v>
      </c>
      <c r="D18" s="624">
        <v>2020</v>
      </c>
      <c r="E18" s="618">
        <f>'UTILITY REPORT 1'!I19</f>
        <v>50.42</v>
      </c>
      <c r="F18" s="618">
        <f>'UTILITY REPORT 1'!E19</f>
        <v>1215.42</v>
      </c>
      <c r="G18" s="619">
        <f>'UTILITY REPORT 1'!F19</f>
        <v>3067</v>
      </c>
      <c r="H18" s="618">
        <f>IF('Kit report'!F20&lt;0,"0",'Kit report'!F20)</f>
        <v>227.99999999995634</v>
      </c>
      <c r="I18" s="618">
        <f>IF('Kit report'!X20&lt;0,"0",'Kit report'!X20)</f>
        <v>380.00000000010914</v>
      </c>
      <c r="J18" s="618">
        <f>IF('Utility summery'!H22&lt;0,"0",'Utility summery'!H22)</f>
        <v>48</v>
      </c>
      <c r="K18" s="619">
        <f>IF('UTILITY REPORT 1'!H19&lt;0,"0",'UTILITY REPORT 1'!H19)</f>
        <v>50</v>
      </c>
      <c r="L18" s="618">
        <f>'Water-Meter'!K22</f>
        <v>2</v>
      </c>
      <c r="M18" s="619">
        <f>'Water-Meter'!H22</f>
        <v>0</v>
      </c>
      <c r="N18" s="619">
        <f>'Water-Meter'!Q22</f>
        <v>4</v>
      </c>
      <c r="O18" s="618" t="e">
        <f>K18*E18+H18*I18+#REF!*#REF!+J18*L18</f>
        <v>#REF!</v>
      </c>
      <c r="P18" s="625">
        <f>'Water-Meter'!E22</f>
        <v>72</v>
      </c>
      <c r="Q18" s="323">
        <f>IF('Water-Meter'!U22&lt;0,"0",'Water-Meter'!U22)</f>
        <v>49</v>
      </c>
      <c r="R18" s="323">
        <f>IF('Water-Meter'!X22&lt;0,"0",'Water-Meter'!X22)</f>
        <v>0</v>
      </c>
      <c r="S18" s="323">
        <f>IF('Water-Meter'!AA22&lt;0,"0",'Water-Meter'!AA22)</f>
        <v>0</v>
      </c>
      <c r="T18" s="323">
        <f>IF('Water-Meter'!AD22&lt;0,"0",'Water-Meter'!AD22)</f>
        <v>0</v>
      </c>
      <c r="U18" s="323">
        <f>IF('Water-Meter'!AG22&lt;0,"0",'Water-Meter'!AG22)</f>
        <v>27</v>
      </c>
      <c r="V18" s="323">
        <f>IF('Water-Meter'!AJ22&lt;0,"0",'Water-Meter'!AJ22)</f>
        <v>0</v>
      </c>
      <c r="W18" s="31">
        <f>'Water-Meter'!AN22</f>
        <v>76</v>
      </c>
      <c r="X18" s="636">
        <f>Total!K18</f>
        <v>6</v>
      </c>
    </row>
    <row r="19" spans="1:24">
      <c r="A19" s="620" t="s">
        <v>284</v>
      </c>
      <c r="B19" s="617">
        <f t="shared" si="0"/>
        <v>18</v>
      </c>
      <c r="C19" s="623">
        <v>3</v>
      </c>
      <c r="D19" s="624">
        <v>2020</v>
      </c>
      <c r="E19" s="618">
        <f>'UTILITY REPORT 1'!I20</f>
        <v>156</v>
      </c>
      <c r="F19" s="618">
        <f>'UTILITY REPORT 1'!E20</f>
        <v>1192.8200000000002</v>
      </c>
      <c r="G19" s="619">
        <f>'UTILITY REPORT 1'!F20</f>
        <v>2970</v>
      </c>
      <c r="H19" s="618">
        <f>IF('Kit report'!F21&lt;0,"0",'Kit report'!F21)</f>
        <v>240</v>
      </c>
      <c r="I19" s="618">
        <f>IF('Kit report'!X21&lt;0,"0",'Kit report'!X21)</f>
        <v>260.00000000003638</v>
      </c>
      <c r="J19" s="618">
        <f>IF('Utility summery'!H23&lt;0,"0",'Utility summery'!H23)</f>
        <v>48</v>
      </c>
      <c r="K19" s="619">
        <f>IF('UTILITY REPORT 1'!H20&lt;0,"0",'UTILITY REPORT 1'!H20)</f>
        <v>52</v>
      </c>
      <c r="L19" s="618">
        <f>'Water-Meter'!K23</f>
        <v>3</v>
      </c>
      <c r="M19" s="619">
        <f>'Water-Meter'!H23</f>
        <v>0</v>
      </c>
      <c r="N19" s="619">
        <f>'Water-Meter'!Q23</f>
        <v>2</v>
      </c>
      <c r="O19" s="618" t="e">
        <f>K19*E19+H19*I19+#REF!*#REF!+J19*L19</f>
        <v>#REF!</v>
      </c>
      <c r="P19" s="625">
        <f>'Water-Meter'!E23</f>
        <v>57</v>
      </c>
      <c r="Q19" s="323">
        <f>IF('Water-Meter'!U23&lt;0,"0",'Water-Meter'!U23)</f>
        <v>48</v>
      </c>
      <c r="R19" s="323">
        <f>IF('Water-Meter'!X23&lt;0,"0",'Water-Meter'!X23)</f>
        <v>0</v>
      </c>
      <c r="S19" s="323">
        <f>IF('Water-Meter'!AA23&lt;0,"0",'Water-Meter'!AA23)</f>
        <v>0</v>
      </c>
      <c r="T19" s="323">
        <f>IF('Water-Meter'!AD23&lt;0,"0",'Water-Meter'!AD23)</f>
        <v>0</v>
      </c>
      <c r="U19" s="323">
        <f>IF('Water-Meter'!AG23&lt;0,"0",'Water-Meter'!AG23)</f>
        <v>25</v>
      </c>
      <c r="V19" s="323">
        <f>IF('Water-Meter'!AJ23&lt;0,"0",'Water-Meter'!AJ23)</f>
        <v>0</v>
      </c>
      <c r="W19" s="31">
        <f>'Water-Meter'!AN23</f>
        <v>73</v>
      </c>
      <c r="X19" s="636">
        <f>Total!K19</f>
        <v>5</v>
      </c>
    </row>
    <row r="20" spans="1:24">
      <c r="A20" s="620" t="s">
        <v>284</v>
      </c>
      <c r="B20" s="617">
        <f t="shared" si="0"/>
        <v>19</v>
      </c>
      <c r="C20" s="623">
        <v>3</v>
      </c>
      <c r="D20" s="624">
        <v>2020</v>
      </c>
      <c r="E20" s="618">
        <f>'UTILITY REPORT 1'!I21</f>
        <v>97.01</v>
      </c>
      <c r="F20" s="618">
        <f>'UTILITY REPORT 1'!E21</f>
        <v>1101.77</v>
      </c>
      <c r="G20" s="619">
        <f>'UTILITY REPORT 1'!F21</f>
        <v>2841</v>
      </c>
      <c r="H20" s="618">
        <f>IF('Kit report'!F22&lt;0,"0",'Kit report'!F22)</f>
        <v>227.99999999995634</v>
      </c>
      <c r="I20" s="618">
        <f>IF('Kit report'!X22&lt;0,"0",'Kit report'!X22)</f>
        <v>279.99999999992724</v>
      </c>
      <c r="J20" s="618">
        <f>IF('Utility summery'!H24&lt;0,"0",'Utility summery'!H24)</f>
        <v>50</v>
      </c>
      <c r="K20" s="619">
        <f>IF('UTILITY REPORT 1'!H21&lt;0,"0",'UTILITY REPORT 1'!H21)</f>
        <v>53</v>
      </c>
      <c r="L20" s="618">
        <f>'Water-Meter'!K24</f>
        <v>1</v>
      </c>
      <c r="M20" s="619">
        <f>'Water-Meter'!H24</f>
        <v>0</v>
      </c>
      <c r="N20" s="619">
        <f>'Water-Meter'!Q24</f>
        <v>3</v>
      </c>
      <c r="O20" s="618" t="e">
        <f>K20*E20+H20*I20+#REF!*#REF!+J20*L20</f>
        <v>#REF!</v>
      </c>
      <c r="P20" s="625">
        <f>'Water-Meter'!E24</f>
        <v>72</v>
      </c>
      <c r="Q20" s="323">
        <f>IF('Water-Meter'!U24&lt;0,"0",'Water-Meter'!U24)</f>
        <v>48</v>
      </c>
      <c r="R20" s="323">
        <f>IF('Water-Meter'!X24&lt;0,"0",'Water-Meter'!X24)</f>
        <v>0</v>
      </c>
      <c r="S20" s="323">
        <f>IF('Water-Meter'!AA24&lt;0,"0",'Water-Meter'!AA24)</f>
        <v>0</v>
      </c>
      <c r="T20" s="323">
        <f>IF('Water-Meter'!AD24&lt;0,"0",'Water-Meter'!AD24)</f>
        <v>0</v>
      </c>
      <c r="U20" s="323">
        <f>IF('Water-Meter'!AG24&lt;0,"0",'Water-Meter'!AG24)</f>
        <v>24</v>
      </c>
      <c r="V20" s="323">
        <f>IF('Water-Meter'!AJ24&lt;0,"0",'Water-Meter'!AJ24)</f>
        <v>26</v>
      </c>
      <c r="W20" s="31">
        <f>'Water-Meter'!AN24</f>
        <v>98</v>
      </c>
      <c r="X20" s="636">
        <f>Total!K20</f>
        <v>1</v>
      </c>
    </row>
    <row r="21" spans="1:24">
      <c r="A21" s="620" t="s">
        <v>284</v>
      </c>
      <c r="B21" s="617">
        <f t="shared" si="0"/>
        <v>20</v>
      </c>
      <c r="C21" s="623">
        <v>3</v>
      </c>
      <c r="D21" s="624">
        <v>2020</v>
      </c>
      <c r="E21" s="618">
        <f>'UTILITY REPORT 1'!I22</f>
        <v>0</v>
      </c>
      <c r="F21" s="618">
        <f>'UTILITY REPORT 1'!E22</f>
        <v>1196.43</v>
      </c>
      <c r="G21" s="619">
        <f>'UTILITY REPORT 1'!F22</f>
        <v>2962</v>
      </c>
      <c r="H21" s="618">
        <f>IF('Kit report'!F23&lt;0,"0",'Kit report'!F23)</f>
        <v>252.00000000004366</v>
      </c>
      <c r="I21" s="618">
        <f>IF('Kit report'!X23&lt;0,"0",'Kit report'!X23)</f>
        <v>320.00000000007276</v>
      </c>
      <c r="J21" s="618">
        <f>IF('Utility summery'!H25&lt;0,"0",'Utility summery'!H25)</f>
        <v>53</v>
      </c>
      <c r="K21" s="619">
        <f>IF('UTILITY REPORT 1'!H22&lt;0,"0",'UTILITY REPORT 1'!H22)</f>
        <v>177</v>
      </c>
      <c r="L21" s="618">
        <f>'Water-Meter'!K25</f>
        <v>2</v>
      </c>
      <c r="M21" s="619">
        <f>'Water-Meter'!H25</f>
        <v>0</v>
      </c>
      <c r="N21" s="619">
        <f>'Water-Meter'!Q25</f>
        <v>3</v>
      </c>
      <c r="O21" s="618" t="e">
        <f>K21*E21+H21*I21+#REF!*#REF!+J21*L21</f>
        <v>#REF!</v>
      </c>
      <c r="P21" s="625">
        <f>'Water-Meter'!E25</f>
        <v>65</v>
      </c>
      <c r="Q21" s="323">
        <f>IF('Water-Meter'!U25&lt;0,"0",'Water-Meter'!U25)</f>
        <v>49</v>
      </c>
      <c r="R21" s="323">
        <f>IF('Water-Meter'!X25&lt;0,"0",'Water-Meter'!X25)</f>
        <v>0</v>
      </c>
      <c r="S21" s="323">
        <f>IF('Water-Meter'!AA25&lt;0,"0",'Water-Meter'!AA25)</f>
        <v>0</v>
      </c>
      <c r="T21" s="323">
        <f>IF('Water-Meter'!AD25&lt;0,"0",'Water-Meter'!AD25)</f>
        <v>0</v>
      </c>
      <c r="U21" s="323">
        <f>IF('Water-Meter'!AG25&lt;0,"0",'Water-Meter'!AG25)</f>
        <v>25</v>
      </c>
      <c r="V21" s="323">
        <f>IF('Water-Meter'!AJ25&lt;0,"0",'Water-Meter'!AJ25)</f>
        <v>49</v>
      </c>
      <c r="W21" s="31">
        <f>'Water-Meter'!AN25</f>
        <v>123</v>
      </c>
      <c r="X21" s="636">
        <f>Total!K21</f>
        <v>0</v>
      </c>
    </row>
    <row r="22" spans="1:24">
      <c r="A22" s="620" t="s">
        <v>284</v>
      </c>
      <c r="B22" s="617">
        <f t="shared" si="0"/>
        <v>21</v>
      </c>
      <c r="C22" s="623">
        <v>3</v>
      </c>
      <c r="D22" s="624">
        <v>2020</v>
      </c>
      <c r="E22" s="618">
        <f>'UTILITY REPORT 1'!I23</f>
        <v>147.13999999999999</v>
      </c>
      <c r="F22" s="618">
        <f>'UTILITY REPORT 1'!E23</f>
        <v>1103.08</v>
      </c>
      <c r="G22" s="619">
        <f>'UTILITY REPORT 1'!F23</f>
        <v>2667</v>
      </c>
      <c r="H22" s="618">
        <f>IF('Kit report'!F24&lt;0,"0",'Kit report'!F24)</f>
        <v>240</v>
      </c>
      <c r="I22" s="618">
        <f>IF('Kit report'!X24&lt;0,"0",'Kit report'!X24)</f>
        <v>239.99999999996362</v>
      </c>
      <c r="J22" s="618">
        <f>IF('Utility summery'!H26&lt;0,"0",'Utility summery'!H26)</f>
        <v>51</v>
      </c>
      <c r="K22" s="619">
        <f>IF('UTILITY REPORT 1'!H23&lt;0,"0",'UTILITY REPORT 1'!H23)</f>
        <v>111</v>
      </c>
      <c r="L22" s="618">
        <f>'Water-Meter'!K26</f>
        <v>1</v>
      </c>
      <c r="M22" s="619">
        <f>'Water-Meter'!H26</f>
        <v>0</v>
      </c>
      <c r="N22" s="619">
        <f>'Water-Meter'!Q26</f>
        <v>2</v>
      </c>
      <c r="O22" s="618" t="e">
        <f>K22*E22+H22*I22+#REF!*#REF!+J22*L22</f>
        <v>#REF!</v>
      </c>
      <c r="P22" s="625">
        <f>'Water-Meter'!E26</f>
        <v>67</v>
      </c>
      <c r="Q22" s="323">
        <f>IF('Water-Meter'!U26&lt;0,"0",'Water-Meter'!U26)</f>
        <v>49</v>
      </c>
      <c r="R22" s="323">
        <f>IF('Water-Meter'!X26&lt;0,"0",'Water-Meter'!X26)</f>
        <v>63</v>
      </c>
      <c r="S22" s="323">
        <f>IF('Water-Meter'!AA26&lt;0,"0",'Water-Meter'!AA26)</f>
        <v>0</v>
      </c>
      <c r="T22" s="323">
        <f>IF('Water-Meter'!AD26&lt;0,"0",'Water-Meter'!AD26)</f>
        <v>0</v>
      </c>
      <c r="U22" s="323">
        <f>IF('Water-Meter'!AG26&lt;0,"0",'Water-Meter'!AG26)</f>
        <v>24</v>
      </c>
      <c r="V22" s="323">
        <f>IF('Water-Meter'!AJ26&lt;0,"0",'Water-Meter'!AJ26)</f>
        <v>45</v>
      </c>
      <c r="W22" s="31">
        <f>'Water-Meter'!AN26</f>
        <v>181</v>
      </c>
      <c r="X22" s="636">
        <f>Total!K22</f>
        <v>0</v>
      </c>
    </row>
    <row r="23" spans="1:24">
      <c r="A23" s="620" t="s">
        <v>284</v>
      </c>
      <c r="B23" s="617">
        <f t="shared" si="0"/>
        <v>22</v>
      </c>
      <c r="C23" s="623">
        <v>3</v>
      </c>
      <c r="D23" s="624">
        <v>2020</v>
      </c>
      <c r="E23" s="618">
        <f>'UTILITY REPORT 1'!I24</f>
        <v>0</v>
      </c>
      <c r="F23" s="618">
        <f>'UTILITY REPORT 1'!E24</f>
        <v>927.75</v>
      </c>
      <c r="G23" s="619">
        <f>'UTILITY REPORT 1'!F24</f>
        <v>2379</v>
      </c>
      <c r="H23" s="618">
        <f>IF('Kit report'!F25&lt;0,"0",'Kit report'!F25)</f>
        <v>167.99999999995634</v>
      </c>
      <c r="I23" s="618">
        <f>IF('Kit report'!X25&lt;0,"0",'Kit report'!X25)</f>
        <v>79.99999999992724</v>
      </c>
      <c r="J23" s="618">
        <f>IF('Utility summery'!H27&lt;0,"0",'Utility summery'!H27)</f>
        <v>43</v>
      </c>
      <c r="K23" s="619">
        <f>IF('UTILITY REPORT 1'!H24&lt;0,"0",'UTILITY REPORT 1'!H24)</f>
        <v>105</v>
      </c>
      <c r="L23" s="618">
        <f>'Water-Meter'!K27</f>
        <v>1</v>
      </c>
      <c r="M23" s="619">
        <f>'Water-Meter'!H27</f>
        <v>0</v>
      </c>
      <c r="N23" s="619">
        <f>'Water-Meter'!Q27</f>
        <v>1</v>
      </c>
      <c r="O23" s="618" t="e">
        <f>K23*E23+H23*I23+#REF!*#REF!+J23*L23</f>
        <v>#REF!</v>
      </c>
      <c r="P23" s="625">
        <f>'Water-Meter'!E27</f>
        <v>73</v>
      </c>
      <c r="Q23" s="323">
        <f>IF('Water-Meter'!U27&lt;0,"0",'Water-Meter'!U27)</f>
        <v>43</v>
      </c>
      <c r="R23" s="323">
        <f>IF('Water-Meter'!X27&lt;0,"0",'Water-Meter'!X27)</f>
        <v>61</v>
      </c>
      <c r="S23" s="323">
        <f>IF('Water-Meter'!AA27&lt;0,"0",'Water-Meter'!AA27)</f>
        <v>0</v>
      </c>
      <c r="T23" s="323">
        <f>IF('Water-Meter'!AD27&lt;0,"0",'Water-Meter'!AD27)</f>
        <v>0</v>
      </c>
      <c r="U23" s="323">
        <f>IF('Water-Meter'!AG27&lt;0,"0",'Water-Meter'!AG27)</f>
        <v>23</v>
      </c>
      <c r="V23" s="323">
        <f>IF('Water-Meter'!AJ27&lt;0,"0",'Water-Meter'!AJ27)</f>
        <v>45</v>
      </c>
      <c r="W23" s="31">
        <f>'Water-Meter'!AN27</f>
        <v>172</v>
      </c>
      <c r="X23" s="636">
        <f>Total!K23</f>
        <v>3</v>
      </c>
    </row>
    <row r="24" spans="1:24">
      <c r="A24" s="620" t="s">
        <v>284</v>
      </c>
      <c r="B24" s="617">
        <f t="shared" si="0"/>
        <v>23</v>
      </c>
      <c r="C24" s="623">
        <v>3</v>
      </c>
      <c r="D24" s="624">
        <v>2020</v>
      </c>
      <c r="E24" s="618">
        <f>'UTILITY REPORT 1'!I25</f>
        <v>0</v>
      </c>
      <c r="F24" s="618">
        <f>'UTILITY REPORT 1'!E25</f>
        <v>1128.43</v>
      </c>
      <c r="G24" s="619">
        <f>'UTILITY REPORT 1'!F25</f>
        <v>2523</v>
      </c>
      <c r="H24" s="618">
        <f>IF('Kit report'!F26&lt;0,"0",'Kit report'!F26)</f>
        <v>216.00000000013097</v>
      </c>
      <c r="I24" s="618">
        <f>IF('Kit report'!X26&lt;0,"0",'Kit report'!X26)</f>
        <v>160.00000000003638</v>
      </c>
      <c r="J24" s="618">
        <f>IF('Utility summery'!H28&lt;0,"0",'Utility summery'!H28)</f>
        <v>40</v>
      </c>
      <c r="K24" s="619">
        <f>IF('UTILITY REPORT 1'!H25&lt;0,"0",'UTILITY REPORT 1'!H25)</f>
        <v>37</v>
      </c>
      <c r="L24" s="618">
        <f>'Water-Meter'!K28</f>
        <v>2</v>
      </c>
      <c r="M24" s="619">
        <f>'Water-Meter'!H28</f>
        <v>0</v>
      </c>
      <c r="N24" s="619">
        <f>'Water-Meter'!Q28</f>
        <v>1</v>
      </c>
      <c r="O24" s="618" t="e">
        <f>K24*E24+H24*I24+#REF!*#REF!+J24*L24</f>
        <v>#REF!</v>
      </c>
      <c r="P24" s="625">
        <f>'Water-Meter'!E28</f>
        <v>67</v>
      </c>
      <c r="Q24" s="323">
        <f>IF('Water-Meter'!U28&lt;0,"0",'Water-Meter'!U28)</f>
        <v>50</v>
      </c>
      <c r="R24" s="323">
        <f>IF('Water-Meter'!X28&lt;0,"0",'Water-Meter'!X28)</f>
        <v>61</v>
      </c>
      <c r="S24" s="323">
        <f>IF('Water-Meter'!AA28&lt;0,"0",'Water-Meter'!AA28)</f>
        <v>0</v>
      </c>
      <c r="T24" s="323">
        <f>IF('Water-Meter'!AD28&lt;0,"0",'Water-Meter'!AD28)</f>
        <v>0</v>
      </c>
      <c r="U24" s="323">
        <f>IF('Water-Meter'!AG28&lt;0,"0",'Water-Meter'!AG28)</f>
        <v>23</v>
      </c>
      <c r="V24" s="323">
        <f>IF('Water-Meter'!AJ28&lt;0,"0",'Water-Meter'!AJ28)</f>
        <v>45</v>
      </c>
      <c r="W24" s="31">
        <f>'Water-Meter'!AN28</f>
        <v>179</v>
      </c>
      <c r="X24" s="636">
        <f>Total!K24</f>
        <v>3</v>
      </c>
    </row>
    <row r="25" spans="1:24">
      <c r="A25" s="620" t="s">
        <v>284</v>
      </c>
      <c r="B25" s="617">
        <f t="shared" si="0"/>
        <v>24</v>
      </c>
      <c r="C25" s="623">
        <v>3</v>
      </c>
      <c r="D25" s="624">
        <v>2020</v>
      </c>
      <c r="E25" s="618">
        <f>'UTILITY REPORT 1'!I26</f>
        <v>249.02</v>
      </c>
      <c r="F25" s="618">
        <f>'UTILITY REPORT 1'!E26</f>
        <v>968.5200000000001</v>
      </c>
      <c r="G25" s="619">
        <f>'UTILITY REPORT 1'!F26</f>
        <v>2586</v>
      </c>
      <c r="H25" s="618">
        <f>IF('Kit report'!F27&lt;0,"0",'Kit report'!F27)</f>
        <v>192.00000000004366</v>
      </c>
      <c r="I25" s="618">
        <f>IF('Kit report'!X27&lt;0,"0",'Kit report'!X27)</f>
        <v>160.00000000003638</v>
      </c>
      <c r="J25" s="618">
        <f>IF('Utility summery'!H29&lt;0,"0",'Utility summery'!H29)</f>
        <v>40</v>
      </c>
      <c r="K25" s="619">
        <f>IF('UTILITY REPORT 1'!H26&lt;0,"0",'UTILITY REPORT 1'!H26)</f>
        <v>53</v>
      </c>
      <c r="L25" s="618">
        <f>'Water-Meter'!K29</f>
        <v>1</v>
      </c>
      <c r="M25" s="619">
        <f>'Water-Meter'!H29</f>
        <v>0</v>
      </c>
      <c r="N25" s="619">
        <f>'Water-Meter'!Q29</f>
        <v>2</v>
      </c>
      <c r="O25" s="618" t="e">
        <f>K25*E25+H25*I25+#REF!*#REF!+J25*L25</f>
        <v>#REF!</v>
      </c>
      <c r="P25" s="625">
        <f>'Water-Meter'!E29</f>
        <v>73</v>
      </c>
      <c r="Q25" s="323">
        <f>IF('Water-Meter'!U29&lt;0,"0",'Water-Meter'!U29)</f>
        <v>55</v>
      </c>
      <c r="R25" s="323">
        <f>IF('Water-Meter'!X29&lt;0,"0",'Water-Meter'!X29)</f>
        <v>65</v>
      </c>
      <c r="S25" s="323">
        <f>IF('Water-Meter'!AA29&lt;0,"0",'Water-Meter'!AA29)</f>
        <v>0</v>
      </c>
      <c r="T25" s="323">
        <f>IF('Water-Meter'!AD29&lt;0,"0",'Water-Meter'!AD29)</f>
        <v>0</v>
      </c>
      <c r="U25" s="323">
        <f>IF('Water-Meter'!AG29&lt;0,"0",'Water-Meter'!AG29)</f>
        <v>23</v>
      </c>
      <c r="V25" s="323">
        <f>IF('Water-Meter'!AJ29&lt;0,"0",'Water-Meter'!AJ29)</f>
        <v>22</v>
      </c>
      <c r="W25" s="31">
        <f>'Water-Meter'!AN29</f>
        <v>165</v>
      </c>
      <c r="X25" s="636">
        <f>Total!K25</f>
        <v>2</v>
      </c>
    </row>
    <row r="26" spans="1:24">
      <c r="A26" s="620" t="s">
        <v>284</v>
      </c>
      <c r="B26" s="617">
        <f>B25+1</f>
        <v>25</v>
      </c>
      <c r="C26" s="623">
        <v>3</v>
      </c>
      <c r="D26" s="624">
        <v>2020</v>
      </c>
      <c r="E26" s="618">
        <f>'UTILITY REPORT 1'!I27</f>
        <v>14.1</v>
      </c>
      <c r="F26" s="618">
        <f>'UTILITY REPORT 1'!E27</f>
        <v>1052.98</v>
      </c>
      <c r="G26" s="619">
        <f>'UTILITY REPORT 1'!F27</f>
        <v>2334</v>
      </c>
      <c r="H26" s="618">
        <f>IF('Kit report'!F28&lt;0,"0",'Kit report'!F28)</f>
        <v>191.99999999982538</v>
      </c>
      <c r="I26" s="618">
        <f>IF('Kit report'!X28&lt;0,"0",'Kit report'!X28)</f>
        <v>79.99999999992724</v>
      </c>
      <c r="J26" s="618">
        <f>IF('Utility summery'!H30&lt;0,"0",'Utility summery'!H30)</f>
        <v>36</v>
      </c>
      <c r="K26" s="619">
        <f>IF('UTILITY REPORT 1'!H27&lt;0,"0",'UTILITY REPORT 1'!H27)</f>
        <v>61</v>
      </c>
      <c r="L26" s="618">
        <f>'Water-Meter'!K30</f>
        <v>1</v>
      </c>
      <c r="M26" s="619">
        <f>'Water-Meter'!H30</f>
        <v>0</v>
      </c>
      <c r="N26" s="619">
        <f>'Water-Meter'!Q30</f>
        <v>2</v>
      </c>
      <c r="O26" s="618" t="e">
        <f>K26*E26+H26*I26+#REF!*#REF!+J26*L26</f>
        <v>#REF!</v>
      </c>
      <c r="P26" s="625">
        <f>'Water-Meter'!E30</f>
        <v>60</v>
      </c>
      <c r="Q26" s="323">
        <f>IF('Water-Meter'!U30&lt;0,"0",'Water-Meter'!U30)</f>
        <v>52</v>
      </c>
      <c r="R26" s="323">
        <f>IF('Water-Meter'!X30&lt;0,"0",'Water-Meter'!X30)</f>
        <v>0</v>
      </c>
      <c r="S26" s="323">
        <f>IF('Water-Meter'!AA30&lt;0,"0",'Water-Meter'!AA30)</f>
        <v>0</v>
      </c>
      <c r="T26" s="323">
        <f>IF('Water-Meter'!AD30&lt;0,"0",'Water-Meter'!AD30)</f>
        <v>0</v>
      </c>
      <c r="U26" s="323">
        <f>IF('Water-Meter'!AG30&lt;0,"0",'Water-Meter'!AG30)</f>
        <v>26</v>
      </c>
      <c r="V26" s="323">
        <f>IF('Water-Meter'!AJ30&lt;0,"0",'Water-Meter'!AJ30)</f>
        <v>0</v>
      </c>
      <c r="W26" s="31">
        <f>'Water-Meter'!AN30</f>
        <v>78</v>
      </c>
      <c r="X26" s="636">
        <f>Total!K26</f>
        <v>2</v>
      </c>
    </row>
    <row r="27" spans="1:24">
      <c r="A27" s="620" t="s">
        <v>284</v>
      </c>
      <c r="B27" s="617">
        <f t="shared" si="0"/>
        <v>26</v>
      </c>
      <c r="C27" s="623">
        <v>3</v>
      </c>
      <c r="D27" s="624">
        <v>2020</v>
      </c>
      <c r="E27" s="618">
        <f>'UTILITY REPORT 1'!I28</f>
        <v>34.57</v>
      </c>
      <c r="F27" s="618">
        <f>'UTILITY REPORT 1'!E28</f>
        <v>1062.08</v>
      </c>
      <c r="G27" s="619">
        <f>'UTILITY REPORT 1'!F28</f>
        <v>2348</v>
      </c>
      <c r="H27" s="618">
        <f>IF('Kit report'!F29&lt;0,"0",'Kit report'!F29)</f>
        <v>168.00000000017462</v>
      </c>
      <c r="I27" s="618">
        <f>IF('Kit report'!X29&lt;0,"0",'Kit report'!X29)</f>
        <v>160.00000000003638</v>
      </c>
      <c r="J27" s="618">
        <f>IF('Utility summery'!H31&lt;0,"0",'Utility summery'!H31)</f>
        <v>38</v>
      </c>
      <c r="K27" s="619">
        <f>IF('UTILITY REPORT 1'!H28&lt;0,"0",'UTILITY REPORT 1'!H28)</f>
        <v>46</v>
      </c>
      <c r="L27" s="618">
        <f>'Water-Meter'!K31</f>
        <v>1</v>
      </c>
      <c r="M27" s="619">
        <f>'Water-Meter'!H31</f>
        <v>0</v>
      </c>
      <c r="N27" s="619">
        <f>'Water-Meter'!Q31</f>
        <v>2</v>
      </c>
      <c r="O27" s="618" t="e">
        <f>K27*E27+H27*I27+#REF!*#REF!+J27*L27</f>
        <v>#REF!</v>
      </c>
      <c r="P27" s="625">
        <f>'Water-Meter'!E31</f>
        <v>50</v>
      </c>
      <c r="Q27" s="323">
        <f>IF('Water-Meter'!U31&lt;0,"0",'Water-Meter'!U31)</f>
        <v>61</v>
      </c>
      <c r="R27" s="323">
        <f>IF('Water-Meter'!X31&lt;0,"0",'Water-Meter'!X31)</f>
        <v>0</v>
      </c>
      <c r="S27" s="323">
        <f>IF('Water-Meter'!AA31&lt;0,"0",'Water-Meter'!AA31)</f>
        <v>0</v>
      </c>
      <c r="T27" s="323">
        <f>IF('Water-Meter'!AD31&lt;0,"0",'Water-Meter'!AD31)</f>
        <v>0</v>
      </c>
      <c r="U27" s="323">
        <f>IF('Water-Meter'!AG31&lt;0,"0",'Water-Meter'!AG31)</f>
        <v>25</v>
      </c>
      <c r="V27" s="323">
        <f>IF('Water-Meter'!AJ31&lt;0,"0",'Water-Meter'!AJ31)</f>
        <v>0</v>
      </c>
      <c r="W27" s="31">
        <f>'Water-Meter'!AN31</f>
        <v>86</v>
      </c>
      <c r="X27" s="636">
        <f>Total!K27</f>
        <v>1</v>
      </c>
    </row>
    <row r="28" spans="1:24">
      <c r="A28" s="620" t="s">
        <v>284</v>
      </c>
      <c r="B28" s="617">
        <f t="shared" si="0"/>
        <v>27</v>
      </c>
      <c r="C28" s="623">
        <v>3</v>
      </c>
      <c r="D28" s="624">
        <v>2020</v>
      </c>
      <c r="E28" s="618">
        <f>'UTILITY REPORT 1'!I29</f>
        <v>144.12</v>
      </c>
      <c r="F28" s="618">
        <f>'UTILITY REPORT 1'!E29</f>
        <v>958.21</v>
      </c>
      <c r="G28" s="619">
        <f>'UTILITY REPORT 1'!F29</f>
        <v>2205</v>
      </c>
      <c r="H28" s="618">
        <f>IF('Kit report'!F30&lt;0,"0",'Kit report'!F30)</f>
        <v>180</v>
      </c>
      <c r="I28" s="618">
        <f>IF('Kit report'!X30&lt;0,"0",'Kit report'!X30)</f>
        <v>200</v>
      </c>
      <c r="J28" s="618">
        <f>IF('Utility summery'!H32&lt;0,"0",'Utility summery'!H32)</f>
        <v>35</v>
      </c>
      <c r="K28" s="619">
        <f>IF('UTILITY REPORT 1'!H29&lt;0,"0",'UTILITY REPORT 1'!H29)</f>
        <v>52</v>
      </c>
      <c r="L28" s="618">
        <f>'Water-Meter'!K32</f>
        <v>1</v>
      </c>
      <c r="M28" s="619">
        <f>'Water-Meter'!H32</f>
        <v>0</v>
      </c>
      <c r="N28" s="619">
        <f>'Water-Meter'!Q32</f>
        <v>3</v>
      </c>
      <c r="O28" s="618" t="e">
        <f>K28*E28+H28*I28+#REF!*#REF!+J28*L28</f>
        <v>#REF!</v>
      </c>
      <c r="P28" s="625">
        <f>'Water-Meter'!E32</f>
        <v>96</v>
      </c>
      <c r="Q28" s="323">
        <f>IF('Water-Meter'!U32&lt;0,"0",'Water-Meter'!U32)</f>
        <v>65</v>
      </c>
      <c r="R28" s="323">
        <f>IF('Water-Meter'!X32&lt;0,"0",'Water-Meter'!X32)</f>
        <v>0</v>
      </c>
      <c r="S28" s="323">
        <f>IF('Water-Meter'!AA32&lt;0,"0",'Water-Meter'!AA32)</f>
        <v>0</v>
      </c>
      <c r="T28" s="323">
        <f>IF('Water-Meter'!AD32&lt;0,"0",'Water-Meter'!AD32)</f>
        <v>0</v>
      </c>
      <c r="U28" s="323">
        <f>IF('Water-Meter'!AG32&lt;0,"0",'Water-Meter'!AG32)</f>
        <v>24</v>
      </c>
      <c r="V28" s="323">
        <f>IF('Water-Meter'!AJ32&lt;0,"0",'Water-Meter'!AJ32)</f>
        <v>0</v>
      </c>
      <c r="W28" s="31">
        <f>'Water-Meter'!AN32</f>
        <v>89</v>
      </c>
      <c r="X28" s="636">
        <f>Total!K28</f>
        <v>1</v>
      </c>
    </row>
    <row r="29" spans="1:24">
      <c r="A29" s="620" t="s">
        <v>284</v>
      </c>
      <c r="B29" s="617">
        <f t="shared" si="0"/>
        <v>28</v>
      </c>
      <c r="C29" s="623">
        <v>3</v>
      </c>
      <c r="D29" s="624">
        <v>2020</v>
      </c>
      <c r="E29" s="618">
        <f>'UTILITY REPORT 1'!I30</f>
        <v>78.2</v>
      </c>
      <c r="F29" s="618">
        <f>'UTILITY REPORT 1'!E30</f>
        <v>811.26</v>
      </c>
      <c r="G29" s="619">
        <f>'UTILITY REPORT 1'!F30</f>
        <v>1991</v>
      </c>
      <c r="H29" s="618">
        <f>IF('Kit report'!F31&lt;0,"0",'Kit report'!F31)</f>
        <v>143.99999999986903</v>
      </c>
      <c r="I29" s="618">
        <f>IF('Kit report'!X31&lt;0,"0",'Kit report'!X31)</f>
        <v>160.00000000003638</v>
      </c>
      <c r="J29" s="618">
        <f>IF('Utility summery'!H33&lt;0,"0",'Utility summery'!H33)</f>
        <v>24</v>
      </c>
      <c r="K29" s="619">
        <f>IF('UTILITY REPORT 1'!H30&lt;0,"0",'UTILITY REPORT 1'!H30)</f>
        <v>135</v>
      </c>
      <c r="L29" s="618">
        <f>'Water-Meter'!K33</f>
        <v>1</v>
      </c>
      <c r="M29" s="619">
        <f>'Water-Meter'!H33</f>
        <v>0</v>
      </c>
      <c r="N29" s="619">
        <f>'Water-Meter'!Q33</f>
        <v>1</v>
      </c>
      <c r="O29" s="618" t="e">
        <f>K29*E29+H29*I29+#REF!*#REF!+J29*L29</f>
        <v>#REF!</v>
      </c>
      <c r="P29" s="625">
        <f>'Water-Meter'!E33</f>
        <v>32</v>
      </c>
      <c r="Q29" s="323">
        <f>IF('Water-Meter'!U33&lt;0,"0",'Water-Meter'!U33)</f>
        <v>64</v>
      </c>
      <c r="R29" s="323">
        <f>IF('Water-Meter'!X33&lt;0,"0",'Water-Meter'!X33)</f>
        <v>0</v>
      </c>
      <c r="S29" s="323">
        <f>IF('Water-Meter'!AA33&lt;0,"0",'Water-Meter'!AA33)</f>
        <v>0</v>
      </c>
      <c r="T29" s="323">
        <f>IF('Water-Meter'!AD33&lt;0,"0",'Water-Meter'!AD33)</f>
        <v>0</v>
      </c>
      <c r="U29" s="323">
        <f>IF('Water-Meter'!AG33&lt;0,"0",'Water-Meter'!AG33)</f>
        <v>23</v>
      </c>
      <c r="V29" s="323">
        <f>IF('Water-Meter'!AJ33&lt;0,"0",'Water-Meter'!AJ33)</f>
        <v>0</v>
      </c>
      <c r="W29" s="31">
        <f>'Water-Meter'!AN33</f>
        <v>87</v>
      </c>
      <c r="X29" s="636">
        <f>Total!K29</f>
        <v>1</v>
      </c>
    </row>
    <row r="30" spans="1:24">
      <c r="A30" s="620" t="s">
        <v>284</v>
      </c>
      <c r="B30" s="617">
        <f t="shared" si="0"/>
        <v>29</v>
      </c>
      <c r="C30" s="623">
        <v>3</v>
      </c>
      <c r="D30" s="624">
        <v>2020</v>
      </c>
      <c r="E30" s="618">
        <f>'UTILITY REPORT 1'!I31</f>
        <v>0</v>
      </c>
      <c r="F30" s="618">
        <f>'UTILITY REPORT 1'!E31</f>
        <v>839.53</v>
      </c>
      <c r="G30" s="619">
        <f>'UTILITY REPORT 1'!F31</f>
        <v>1988</v>
      </c>
      <c r="H30" s="618">
        <f>IF('Kit report'!F32&lt;0,"0",'Kit report'!F32)</f>
        <v>167.99999999995634</v>
      </c>
      <c r="I30" s="618">
        <f>IF('Kit report'!X32&lt;0,"0",'Kit report'!X32)</f>
        <v>119.99999999989086</v>
      </c>
      <c r="J30" s="618">
        <f>IF('Utility summery'!H34&lt;0,"0",'Utility summery'!H34)</f>
        <v>25</v>
      </c>
      <c r="K30" s="619">
        <f>IF('UTILITY REPORT 1'!H31&lt;0,"0",'UTILITY REPORT 1'!H31)</f>
        <v>34</v>
      </c>
      <c r="L30" s="618">
        <f>'Water-Meter'!K34</f>
        <v>1</v>
      </c>
      <c r="M30" s="619">
        <f>'Water-Meter'!H34</f>
        <v>0</v>
      </c>
      <c r="N30" s="619">
        <f>'Water-Meter'!Q34</f>
        <v>1</v>
      </c>
      <c r="O30" s="618" t="e">
        <f>K30*E30+H30*I30+#REF!*#REF!+J30*L30</f>
        <v>#REF!</v>
      </c>
      <c r="P30" s="625">
        <f>'Water-Meter'!E34</f>
        <v>38</v>
      </c>
      <c r="Q30" s="323">
        <f>IF('Water-Meter'!U34&lt;0,"0",'Water-Meter'!U34)</f>
        <v>63</v>
      </c>
      <c r="R30" s="323">
        <f>IF('Water-Meter'!X34&lt;0,"0",'Water-Meter'!X34)</f>
        <v>0</v>
      </c>
      <c r="S30" s="323">
        <f>IF('Water-Meter'!AA34&lt;0,"0",'Water-Meter'!AA34)</f>
        <v>0</v>
      </c>
      <c r="T30" s="323">
        <f>IF('Water-Meter'!AD34&lt;0,"0",'Water-Meter'!AD34)</f>
        <v>0</v>
      </c>
      <c r="U30" s="323">
        <f>IF('Water-Meter'!AG34&lt;0,"0",'Water-Meter'!AG34)</f>
        <v>24</v>
      </c>
      <c r="V30" s="323">
        <f>IF('Water-Meter'!AJ34&lt;0,"0",'Water-Meter'!AJ34)</f>
        <v>0</v>
      </c>
      <c r="W30" s="31">
        <f>'Water-Meter'!AN34</f>
        <v>87</v>
      </c>
      <c r="X30" s="636">
        <f>Total!K30</f>
        <v>0</v>
      </c>
    </row>
    <row r="31" spans="1:24">
      <c r="A31" s="620" t="s">
        <v>284</v>
      </c>
      <c r="B31" s="617">
        <v>30</v>
      </c>
      <c r="C31" s="623">
        <v>3</v>
      </c>
      <c r="D31" s="624">
        <v>2020</v>
      </c>
      <c r="E31" s="618">
        <f>'UTILITY REPORT 1'!I32</f>
        <v>0</v>
      </c>
      <c r="F31" s="618">
        <f>'UTILITY REPORT 1'!E32</f>
        <v>935.36</v>
      </c>
      <c r="G31" s="619">
        <f>'UTILITY REPORT 1'!F32</f>
        <v>2056</v>
      </c>
      <c r="H31" s="618">
        <f>IF('Kit report'!F33&lt;0,"0",'Kit report'!F33)</f>
        <v>156.00000000013097</v>
      </c>
      <c r="I31" s="618">
        <f>IF('Kit report'!X33&lt;0,"0",'Kit report'!X33)</f>
        <v>220.00000000007276</v>
      </c>
      <c r="J31" s="618">
        <f>IF('Utility summery'!H35&lt;0,"0",'Utility summery'!H35)</f>
        <v>26</v>
      </c>
      <c r="K31" s="619">
        <f>IF('UTILITY REPORT 1'!H32&lt;0,"0",'UTILITY REPORT 1'!H32)</f>
        <v>50</v>
      </c>
      <c r="L31" s="618">
        <f>'Water-Meter'!K35</f>
        <v>1</v>
      </c>
      <c r="M31" s="619">
        <f>'Water-Meter'!H35</f>
        <v>0</v>
      </c>
      <c r="N31" s="619">
        <f>'Water-Meter'!Q35</f>
        <v>4</v>
      </c>
      <c r="O31" s="618" t="e">
        <f>K31*E31+H31*I31+#REF!*#REF!+J31*L31</f>
        <v>#REF!</v>
      </c>
      <c r="P31" s="625">
        <f>'Water-Meter'!E35</f>
        <v>46</v>
      </c>
      <c r="Q31" s="323">
        <f>IF('Water-Meter'!U35&lt;0,"0",'Water-Meter'!U35)</f>
        <v>49</v>
      </c>
      <c r="R31" s="323">
        <f>IF('Water-Meter'!X35&lt;0,"0",'Water-Meter'!X35)</f>
        <v>0</v>
      </c>
      <c r="S31" s="323">
        <f>IF('Water-Meter'!AA35&lt;0,"0",'Water-Meter'!AA35)</f>
        <v>0</v>
      </c>
      <c r="T31" s="323">
        <f>IF('Water-Meter'!AD35&lt;0,"0",'Water-Meter'!AD35)</f>
        <v>0</v>
      </c>
      <c r="U31" s="323">
        <f>IF('Water-Meter'!AG35&lt;0,"0",'Water-Meter'!AG35)</f>
        <v>24</v>
      </c>
      <c r="V31" s="323">
        <f>IF('Water-Meter'!AJ35&lt;0,"0",'Water-Meter'!AJ35)</f>
        <v>0</v>
      </c>
      <c r="W31" s="31">
        <f>'Water-Meter'!AN35</f>
        <v>73</v>
      </c>
      <c r="X31" s="636">
        <f>Total!K31</f>
        <v>0</v>
      </c>
    </row>
    <row r="32" spans="1:24">
      <c r="A32" s="620" t="s">
        <v>284</v>
      </c>
      <c r="B32" s="617">
        <v>31</v>
      </c>
      <c r="C32" s="623">
        <v>3</v>
      </c>
      <c r="D32" s="624">
        <v>2020</v>
      </c>
      <c r="E32" s="618">
        <f>'UTILITY REPORT 1'!I33</f>
        <v>0</v>
      </c>
      <c r="F32" s="618">
        <f>'UTILITY REPORT 1'!E33</f>
        <v>919.91</v>
      </c>
      <c r="G32" s="619">
        <f>'UTILITY REPORT 1'!F33</f>
        <v>2243</v>
      </c>
      <c r="H32" s="618">
        <f>IF('Kit report'!F34&lt;0,"0",'Kit report'!F34)</f>
        <v>180</v>
      </c>
      <c r="I32" s="618">
        <f>IF('Kit report'!X34&lt;0,"0",'Kit report'!X34)</f>
        <v>139.99999999996362</v>
      </c>
      <c r="J32" s="618">
        <f>IF('Utility summery'!H36&lt;0,"0",'Utility summery'!H36)</f>
        <v>28</v>
      </c>
      <c r="K32" s="619">
        <f>IF('UTILITY REPORT 1'!H33&lt;0,"0",'UTILITY REPORT 1'!H33)</f>
        <v>144</v>
      </c>
      <c r="L32" s="618">
        <f>'Water-Meter'!K36</f>
        <v>2</v>
      </c>
      <c r="M32" s="619">
        <f>'Water-Meter'!H36</f>
        <v>0</v>
      </c>
      <c r="N32" s="619">
        <f>'Water-Meter'!Q36</f>
        <v>3</v>
      </c>
      <c r="O32" s="323"/>
      <c r="P32" s="625">
        <f>'Water-Meter'!E36</f>
        <v>64</v>
      </c>
      <c r="Q32" s="323">
        <f>IF('Water-Meter'!U36&lt;0,"0",'Water-Meter'!U36)</f>
        <v>51</v>
      </c>
      <c r="R32" s="323">
        <f>IF('Water-Meter'!X36&lt;0,"0",'Water-Meter'!X36)</f>
        <v>0</v>
      </c>
      <c r="S32" s="323">
        <f>IF('Water-Meter'!AA36&lt;0,"0",'Water-Meter'!AA36)</f>
        <v>0</v>
      </c>
      <c r="T32" s="323">
        <f>IF('Water-Meter'!AD36&lt;0,"0",'Water-Meter'!AD36)</f>
        <v>0</v>
      </c>
      <c r="U32" s="323">
        <f>IF('Water-Meter'!AG36&lt;0,"0",'Water-Meter'!AG36)</f>
        <v>24</v>
      </c>
      <c r="V32" s="323" t="str">
        <f>IF('Water-Meter'!AJ36&lt;0,"0",'Water-Meter'!AJ36)</f>
        <v>0</v>
      </c>
      <c r="W32" s="31">
        <f>'Water-Meter'!AN36</f>
        <v>75</v>
      </c>
      <c r="X32" s="636">
        <f>Total!K32</f>
        <v>0</v>
      </c>
    </row>
    <row r="33" spans="5:12">
      <c r="E33" s="554"/>
      <c r="F33" s="554"/>
      <c r="H33" s="554"/>
      <c r="I33" s="554"/>
      <c r="J33" s="554"/>
      <c r="L33" s="554"/>
    </row>
    <row r="34" spans="5:12">
      <c r="E34" s="554"/>
      <c r="F34" s="554"/>
      <c r="H34" s="554"/>
      <c r="I34" s="554"/>
      <c r="J34" s="554"/>
      <c r="L34" s="554"/>
    </row>
    <row r="35" spans="5:12">
      <c r="E35" s="554"/>
      <c r="F35" s="554"/>
      <c r="H35" s="554"/>
      <c r="I35" s="554"/>
      <c r="J35" s="554"/>
      <c r="L35" s="554"/>
    </row>
    <row r="36" spans="5:12">
      <c r="E36" s="554"/>
      <c r="F36" s="554"/>
      <c r="H36" s="554"/>
      <c r="I36" s="554"/>
      <c r="J36" s="554"/>
      <c r="L36" s="554"/>
    </row>
    <row r="37" spans="5:12">
      <c r="E37" s="554"/>
      <c r="F37" s="554"/>
      <c r="H37" s="554"/>
      <c r="I37" s="554"/>
      <c r="J37" s="554"/>
      <c r="L37" s="554"/>
    </row>
    <row r="38" spans="5:12">
      <c r="E38" s="554"/>
      <c r="F38" s="554"/>
      <c r="H38" s="554"/>
      <c r="I38" s="554"/>
      <c r="J38" s="554"/>
      <c r="L38" s="55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topLeftCell="A19" workbookViewId="0">
      <selection activeCell="J20" sqref="J20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769" t="s">
        <v>305</v>
      </c>
      <c r="B1" s="769"/>
      <c r="C1" s="769"/>
      <c r="D1" s="769"/>
      <c r="E1" s="769"/>
      <c r="F1" s="769"/>
      <c r="G1" s="769"/>
      <c r="H1" s="769"/>
    </row>
    <row r="2" spans="1:9" ht="48" customHeight="1" thickBot="1">
      <c r="A2" s="322" t="s">
        <v>0</v>
      </c>
      <c r="B2" s="140" t="s">
        <v>1</v>
      </c>
      <c r="C2" s="539" t="s">
        <v>269</v>
      </c>
      <c r="D2" s="373" t="s">
        <v>270</v>
      </c>
      <c r="E2" s="537" t="s">
        <v>268</v>
      </c>
      <c r="F2" s="373" t="s">
        <v>265</v>
      </c>
      <c r="G2" s="373" t="s">
        <v>266</v>
      </c>
      <c r="H2" s="539" t="s">
        <v>267</v>
      </c>
      <c r="I2" s="373" t="s">
        <v>271</v>
      </c>
    </row>
    <row r="3" spans="1:9" ht="13.5">
      <c r="A3" s="538">
        <v>43862</v>
      </c>
      <c r="B3" s="540">
        <f>Gen!C11</f>
        <v>0.57140000000000002</v>
      </c>
      <c r="C3" s="541">
        <f>'Summery Report'!E5</f>
        <v>46</v>
      </c>
      <c r="D3" s="542">
        <v>1</v>
      </c>
      <c r="E3" s="541">
        <f>Gen!T11</f>
        <v>2246.69</v>
      </c>
      <c r="F3" s="541">
        <f>Gen!U11</f>
        <v>5649</v>
      </c>
      <c r="G3" s="541">
        <f>'Water-Meter'!E6</f>
        <v>146</v>
      </c>
      <c r="H3" s="541">
        <f>'Utility report '!AC6</f>
        <v>182</v>
      </c>
      <c r="I3" s="541">
        <f>Gen!AK11</f>
        <v>321.77</v>
      </c>
    </row>
    <row r="4" spans="1:9" ht="13.5">
      <c r="A4" s="538">
        <v>43863</v>
      </c>
      <c r="B4" s="540">
        <f>Gen!C12</f>
        <v>0.2208</v>
      </c>
      <c r="C4" s="541">
        <f>'Summery Report'!E6</f>
        <v>17</v>
      </c>
      <c r="D4" s="542">
        <v>1</v>
      </c>
      <c r="E4" s="541">
        <f>Gen!T12</f>
        <v>2125.4799999999996</v>
      </c>
      <c r="F4" s="541">
        <f>Gen!U12</f>
        <v>5543</v>
      </c>
      <c r="G4" s="541">
        <f>'Water-Meter'!E7</f>
        <v>164</v>
      </c>
      <c r="H4" s="541">
        <f>'Utility report '!AC7</f>
        <v>184</v>
      </c>
      <c r="I4" s="541">
        <f>Gen!AK12</f>
        <v>281.34000000000003</v>
      </c>
    </row>
    <row r="5" spans="1:9" ht="13.5">
      <c r="A5" s="538">
        <v>43864</v>
      </c>
      <c r="B5" s="540">
        <f>Gen!C13</f>
        <v>0.1429</v>
      </c>
      <c r="C5" s="541">
        <f>'Summery Report'!E7</f>
        <v>12</v>
      </c>
      <c r="D5" s="542">
        <v>1</v>
      </c>
      <c r="E5" s="541">
        <f>Gen!T13</f>
        <v>2081.2800000000002</v>
      </c>
      <c r="F5" s="541">
        <f>Gen!U13</f>
        <v>4636</v>
      </c>
      <c r="G5" s="541">
        <f>'Water-Meter'!E8</f>
        <v>164</v>
      </c>
      <c r="H5" s="541">
        <f>'Utility report '!AC8</f>
        <v>151</v>
      </c>
      <c r="I5" s="541">
        <f>Gen!AK13</f>
        <v>55.1</v>
      </c>
    </row>
    <row r="6" spans="1:9" ht="13.5">
      <c r="A6" s="538">
        <v>43865</v>
      </c>
      <c r="B6" s="540">
        <f>Gen!C14</f>
        <v>1</v>
      </c>
      <c r="C6" s="541">
        <f>'Summery Report'!E8</f>
        <v>77</v>
      </c>
      <c r="D6" s="542">
        <v>1</v>
      </c>
      <c r="E6" s="541">
        <f>Gen!T14</f>
        <v>2421.29</v>
      </c>
      <c r="F6" s="541">
        <f>Gen!U14</f>
        <v>6200</v>
      </c>
      <c r="G6" s="541">
        <f>'Water-Meter'!E9</f>
        <v>163</v>
      </c>
      <c r="H6" s="541">
        <f>'Utility report '!AC9</f>
        <v>153</v>
      </c>
      <c r="I6" s="541">
        <f>Gen!AK14</f>
        <v>149.94</v>
      </c>
    </row>
    <row r="7" spans="1:9" ht="13.5">
      <c r="A7" s="538">
        <v>43866</v>
      </c>
      <c r="B7" s="540">
        <f>Gen!C15</f>
        <v>1</v>
      </c>
      <c r="C7" s="541">
        <f>'Summery Report'!E9</f>
        <v>77</v>
      </c>
      <c r="D7" s="542">
        <v>1</v>
      </c>
      <c r="E7" s="541">
        <f>Gen!T15</f>
        <v>2590.17</v>
      </c>
      <c r="F7" s="541">
        <f>Gen!U15</f>
        <v>6603</v>
      </c>
      <c r="G7" s="541">
        <f>'Water-Meter'!E10</f>
        <v>177</v>
      </c>
      <c r="H7" s="541">
        <f>'Utility report '!AC10</f>
        <v>159</v>
      </c>
      <c r="I7" s="541">
        <f>Gen!AK15</f>
        <v>44.9</v>
      </c>
    </row>
    <row r="8" spans="1:9" ht="13.5">
      <c r="A8" s="538">
        <v>43867</v>
      </c>
      <c r="B8" s="540">
        <f>Gen!C16</f>
        <v>1</v>
      </c>
      <c r="C8" s="541">
        <f>'Summery Report'!E10</f>
        <v>77</v>
      </c>
      <c r="D8" s="542">
        <v>1</v>
      </c>
      <c r="E8" s="541">
        <f>Gen!T16</f>
        <v>2694.18</v>
      </c>
      <c r="F8" s="541">
        <f>Gen!U16</f>
        <v>6820</v>
      </c>
      <c r="G8" s="541">
        <f>'Water-Meter'!E11</f>
        <v>191</v>
      </c>
      <c r="H8" s="541">
        <f>'Utility report '!AC11</f>
        <v>125</v>
      </c>
      <c r="I8" s="541">
        <f>Gen!AK16</f>
        <v>75.03</v>
      </c>
    </row>
    <row r="9" spans="1:9" ht="13.5">
      <c r="A9" s="538">
        <v>43868</v>
      </c>
      <c r="B9" s="540">
        <f>Gen!C17</f>
        <v>1</v>
      </c>
      <c r="C9" s="541">
        <f>'Summery Report'!E11</f>
        <v>77</v>
      </c>
      <c r="D9" s="542">
        <v>1</v>
      </c>
      <c r="E9" s="541">
        <f>Gen!T17</f>
        <v>2914.3</v>
      </c>
      <c r="F9" s="541">
        <f>Gen!U17</f>
        <v>7352</v>
      </c>
      <c r="G9" s="541">
        <f>'Water-Meter'!E12</f>
        <v>168</v>
      </c>
      <c r="H9" s="541">
        <f>'Utility report '!AC12</f>
        <v>155</v>
      </c>
      <c r="I9" s="541">
        <f>Gen!AK17</f>
        <v>87.259999999999991</v>
      </c>
    </row>
    <row r="10" spans="1:9" ht="13.5">
      <c r="A10" s="538">
        <v>43869</v>
      </c>
      <c r="B10" s="540">
        <f>Gen!C18</f>
        <v>0.59740000000000004</v>
      </c>
      <c r="C10" s="541">
        <f>'Summery Report'!E12</f>
        <v>46</v>
      </c>
      <c r="D10" s="542">
        <v>1</v>
      </c>
      <c r="E10" s="541">
        <f>Gen!T18</f>
        <v>2683.84</v>
      </c>
      <c r="F10" s="541">
        <f>Gen!U18</f>
        <v>6190</v>
      </c>
      <c r="G10" s="541">
        <f>'Water-Meter'!E13</f>
        <v>131</v>
      </c>
      <c r="H10" s="541">
        <f>'Utility report '!AC13</f>
        <v>183</v>
      </c>
      <c r="I10" s="541">
        <f>Gen!AK18</f>
        <v>424.4</v>
      </c>
    </row>
    <row r="11" spans="1:9" ht="13.5">
      <c r="A11" s="538">
        <v>43870</v>
      </c>
      <c r="B11" s="540">
        <f>Gen!C19</f>
        <v>0.57140000000000002</v>
      </c>
      <c r="C11" s="541">
        <f>'Summery Report'!E13</f>
        <v>44</v>
      </c>
      <c r="D11" s="542">
        <v>1</v>
      </c>
      <c r="E11" s="541">
        <f>Gen!T19</f>
        <v>2232.9499999999998</v>
      </c>
      <c r="F11" s="541">
        <f>Gen!U19</f>
        <v>4387</v>
      </c>
      <c r="G11" s="541">
        <f>'Water-Meter'!E14</f>
        <v>117</v>
      </c>
      <c r="H11" s="541">
        <f>'Utility report '!AC14</f>
        <v>183</v>
      </c>
      <c r="I11" s="541">
        <f>Gen!AK19</f>
        <v>170.83999999999997</v>
      </c>
    </row>
    <row r="12" spans="1:9" ht="13.5">
      <c r="A12" s="538">
        <v>43871</v>
      </c>
      <c r="B12" s="540">
        <f>Gen!C20</f>
        <v>0.58440000000000003</v>
      </c>
      <c r="C12" s="541">
        <f>'Summery Report'!E14</f>
        <v>0</v>
      </c>
      <c r="D12" s="542">
        <v>1</v>
      </c>
      <c r="E12" s="541">
        <f>Gen!T20</f>
        <v>2128.3999999999996</v>
      </c>
      <c r="F12" s="541">
        <f>Gen!U20</f>
        <v>5593</v>
      </c>
      <c r="G12" s="541">
        <f>'Water-Meter'!E15</f>
        <v>129</v>
      </c>
      <c r="H12" s="541">
        <f>'Utility report '!AC15</f>
        <v>21</v>
      </c>
      <c r="I12" s="541">
        <f>Gen!AK20</f>
        <v>33.880000000000003</v>
      </c>
    </row>
    <row r="13" spans="1:9" ht="13.5">
      <c r="A13" s="538">
        <v>43872</v>
      </c>
      <c r="B13" s="540">
        <f>Gen!C21</f>
        <v>3.9E-2</v>
      </c>
      <c r="C13" s="541">
        <f>'Summery Report'!E15</f>
        <v>0</v>
      </c>
      <c r="D13" s="542">
        <v>1</v>
      </c>
      <c r="E13" s="541">
        <f>Gen!T21</f>
        <v>1707.85</v>
      </c>
      <c r="F13" s="541">
        <f>Gen!U21</f>
        <v>4641</v>
      </c>
      <c r="G13" s="541">
        <f>'Water-Meter'!E16</f>
        <v>99</v>
      </c>
      <c r="H13" s="541">
        <f>'Utility report '!AC16</f>
        <v>87</v>
      </c>
      <c r="I13" s="541">
        <f>Gen!AK21</f>
        <v>204.76999999999998</v>
      </c>
    </row>
    <row r="14" spans="1:9" ht="13.5">
      <c r="A14" s="538">
        <v>43873</v>
      </c>
      <c r="B14" s="540">
        <f>Gen!C22</f>
        <v>3.9E-2</v>
      </c>
      <c r="C14" s="541">
        <f>'Summery Report'!E16</f>
        <v>4</v>
      </c>
      <c r="D14" s="542">
        <v>1</v>
      </c>
      <c r="E14" s="541">
        <f>Gen!T22</f>
        <v>2737.5</v>
      </c>
      <c r="F14" s="541">
        <f>Gen!U22</f>
        <v>4209</v>
      </c>
      <c r="G14" s="541">
        <f>'Water-Meter'!E17</f>
        <v>77</v>
      </c>
      <c r="H14" s="541">
        <f>'Utility report '!AC17</f>
        <v>161</v>
      </c>
      <c r="I14" s="541">
        <f>Gen!AK22</f>
        <v>106.07</v>
      </c>
    </row>
    <row r="15" spans="1:9" ht="13.5">
      <c r="A15" s="538">
        <v>43874</v>
      </c>
      <c r="B15" s="540">
        <f>Gen!C23</f>
        <v>3.9E-2</v>
      </c>
      <c r="C15" s="541">
        <f>'Summery Report'!E17</f>
        <v>4</v>
      </c>
      <c r="D15" s="542">
        <v>1</v>
      </c>
      <c r="E15" s="541">
        <f>Gen!T23</f>
        <v>2538.1400000000003</v>
      </c>
      <c r="F15" s="541">
        <f>Gen!U23</f>
        <v>3918</v>
      </c>
      <c r="G15" s="541">
        <f>'Water-Meter'!E18</f>
        <v>69</v>
      </c>
      <c r="H15" s="541">
        <f>'Utility report '!AC18</f>
        <v>148</v>
      </c>
      <c r="I15" s="541">
        <f>Gen!AK23</f>
        <v>233.75</v>
      </c>
    </row>
    <row r="16" spans="1:9" ht="13.5">
      <c r="A16" s="538">
        <v>43875</v>
      </c>
      <c r="B16" s="540">
        <f>Gen!C24</f>
        <v>2.86E-2</v>
      </c>
      <c r="C16" s="541">
        <f>'Summery Report'!E18</f>
        <v>4</v>
      </c>
      <c r="D16" s="542">
        <v>1</v>
      </c>
      <c r="E16" s="541">
        <f>Gen!T24</f>
        <v>1306.6799999999998</v>
      </c>
      <c r="F16" s="541">
        <f>Gen!U24</f>
        <v>3497</v>
      </c>
      <c r="G16" s="541">
        <f>'Water-Meter'!E19</f>
        <v>72</v>
      </c>
      <c r="H16" s="541">
        <f>'Utility report '!AC19</f>
        <v>99</v>
      </c>
      <c r="I16" s="541">
        <f>Gen!AK24</f>
        <v>116.4</v>
      </c>
    </row>
    <row r="17" spans="1:9" ht="13.5">
      <c r="A17" s="538">
        <v>43876</v>
      </c>
      <c r="B17" s="540">
        <f>Gen!C25</f>
        <v>6.4899999999999999E-2</v>
      </c>
      <c r="C17" s="541">
        <f>'Summery Report'!E19</f>
        <v>4</v>
      </c>
      <c r="D17" s="542">
        <v>1</v>
      </c>
      <c r="E17" s="541">
        <f>Gen!T25</f>
        <v>1421.46</v>
      </c>
      <c r="F17" s="541">
        <f>Gen!U25</f>
        <v>3584</v>
      </c>
      <c r="G17" s="541">
        <f>'Water-Meter'!E20</f>
        <v>92</v>
      </c>
      <c r="H17" s="541">
        <f>'Utility report '!AC20</f>
        <v>47</v>
      </c>
      <c r="I17" s="541">
        <f>Gen!AK25</f>
        <v>287.96000000000004</v>
      </c>
    </row>
    <row r="18" spans="1:9" ht="13.5">
      <c r="A18" s="538">
        <v>43877</v>
      </c>
      <c r="B18" s="540">
        <f>Gen!C26</f>
        <v>5.1900000000000002E-2</v>
      </c>
      <c r="C18" s="541">
        <f>'Summery Report'!E20</f>
        <v>5</v>
      </c>
      <c r="D18" s="542">
        <v>1</v>
      </c>
      <c r="E18" s="541">
        <f>Gen!T26</f>
        <v>1366.8200000000002</v>
      </c>
      <c r="F18" s="541">
        <f>Gen!U26</f>
        <v>3345</v>
      </c>
      <c r="G18" s="541">
        <f>'Water-Meter'!E21</f>
        <v>90</v>
      </c>
      <c r="H18" s="541">
        <f>'Utility report '!AC21</f>
        <v>58</v>
      </c>
      <c r="I18" s="541">
        <f>Gen!AK26</f>
        <v>79.289999999999992</v>
      </c>
    </row>
    <row r="19" spans="1:9" ht="13.5">
      <c r="A19" s="538">
        <v>43878</v>
      </c>
      <c r="B19" s="540">
        <f>Gen!C27</f>
        <v>2.5999999999999999E-2</v>
      </c>
      <c r="C19" s="541">
        <f>'Summery Report'!E21</f>
        <v>6</v>
      </c>
      <c r="D19" s="542">
        <v>1</v>
      </c>
      <c r="E19" s="541">
        <f>Gen!T27</f>
        <v>1215.42</v>
      </c>
      <c r="F19" s="541">
        <f>Gen!U27</f>
        <v>3067</v>
      </c>
      <c r="G19" s="541">
        <f>'Water-Meter'!E22</f>
        <v>72</v>
      </c>
      <c r="H19" s="541">
        <f>'Utility report '!AC22</f>
        <v>50</v>
      </c>
      <c r="I19" s="541">
        <f>Gen!AK27</f>
        <v>50.42</v>
      </c>
    </row>
    <row r="20" spans="1:9" ht="13.5">
      <c r="A20" s="538">
        <v>43879</v>
      </c>
      <c r="B20" s="540">
        <f>Gen!C28</f>
        <v>5.1900000000000002E-2</v>
      </c>
      <c r="C20" s="541">
        <f>'Summery Report'!E22</f>
        <v>5</v>
      </c>
      <c r="D20" s="542">
        <v>1</v>
      </c>
      <c r="E20" s="541">
        <f>Gen!T28</f>
        <v>1192.8200000000002</v>
      </c>
      <c r="F20" s="541">
        <f>Gen!U28</f>
        <v>2970</v>
      </c>
      <c r="G20" s="541">
        <f>'Water-Meter'!E23</f>
        <v>57</v>
      </c>
      <c r="H20" s="541">
        <f>'Utility report '!AC23</f>
        <v>52</v>
      </c>
      <c r="I20" s="541">
        <f>Gen!AK28</f>
        <v>156</v>
      </c>
    </row>
    <row r="21" spans="1:9" ht="13.5">
      <c r="A21" s="538">
        <v>43880</v>
      </c>
      <c r="B21" s="540">
        <f>Gen!C29</f>
        <v>0.02</v>
      </c>
      <c r="C21" s="541">
        <f>'Summery Report'!E23</f>
        <v>1</v>
      </c>
      <c r="D21" s="542">
        <v>1</v>
      </c>
      <c r="E21" s="541">
        <f>Gen!T29</f>
        <v>1101.77</v>
      </c>
      <c r="F21" s="541">
        <f>Gen!U29</f>
        <v>2841</v>
      </c>
      <c r="G21" s="541">
        <f>'Water-Meter'!E24</f>
        <v>72</v>
      </c>
      <c r="H21" s="541">
        <f>'Utility report '!AC24</f>
        <v>53</v>
      </c>
      <c r="I21" s="541">
        <f>Gen!AK29</f>
        <v>97.01</v>
      </c>
    </row>
    <row r="22" spans="1:9" ht="13.5">
      <c r="A22" s="538">
        <v>43881</v>
      </c>
      <c r="B22" s="540">
        <f>Gen!C30</f>
        <v>0.02</v>
      </c>
      <c r="C22" s="541">
        <f>'Summery Report'!E24</f>
        <v>0</v>
      </c>
      <c r="D22" s="542">
        <v>1</v>
      </c>
      <c r="E22" s="541">
        <f>Gen!T30</f>
        <v>1196.43</v>
      </c>
      <c r="F22" s="541">
        <f>Gen!U30</f>
        <v>2962</v>
      </c>
      <c r="G22" s="541">
        <f>'Water-Meter'!E25</f>
        <v>65</v>
      </c>
      <c r="H22" s="541">
        <f>'Utility report '!AC25</f>
        <v>177</v>
      </c>
      <c r="I22" s="541">
        <f>Gen!AK30</f>
        <v>0</v>
      </c>
    </row>
    <row r="23" spans="1:9" ht="13.5">
      <c r="A23" s="538">
        <v>43882</v>
      </c>
      <c r="B23" s="540">
        <f>Gen!C31</f>
        <v>0</v>
      </c>
      <c r="C23" s="541">
        <f>'Summery Report'!E25</f>
        <v>0</v>
      </c>
      <c r="D23" s="542">
        <v>1</v>
      </c>
      <c r="E23" s="541">
        <f>Gen!T31</f>
        <v>1103.08</v>
      </c>
      <c r="F23" s="541">
        <f>Gen!U31</f>
        <v>2667</v>
      </c>
      <c r="G23" s="541">
        <f>'Water-Meter'!E26</f>
        <v>67</v>
      </c>
      <c r="H23" s="541">
        <f>'Utility report '!AC26</f>
        <v>111</v>
      </c>
      <c r="I23" s="541">
        <f>Gen!AK31</f>
        <v>147.13999999999999</v>
      </c>
    </row>
    <row r="24" spans="1:9" ht="13.5">
      <c r="A24" s="538">
        <v>43883</v>
      </c>
      <c r="B24" s="540">
        <f>Gen!C32</f>
        <v>0</v>
      </c>
      <c r="C24" s="541">
        <f>'Summery Report'!E26</f>
        <v>3</v>
      </c>
      <c r="D24" s="542">
        <v>1</v>
      </c>
      <c r="E24" s="541">
        <f>Gen!T32</f>
        <v>927.75</v>
      </c>
      <c r="F24" s="541">
        <f>Gen!U32</f>
        <v>2379</v>
      </c>
      <c r="G24" s="541">
        <f>'Water-Meter'!E27</f>
        <v>73</v>
      </c>
      <c r="H24" s="541">
        <f>'Utility report '!AC27</f>
        <v>105</v>
      </c>
      <c r="I24" s="541">
        <f>Gen!AK32</f>
        <v>0</v>
      </c>
    </row>
    <row r="25" spans="1:9" ht="13.5">
      <c r="A25" s="538">
        <v>43884</v>
      </c>
      <c r="B25" s="540">
        <f>Gen!C33</f>
        <v>0</v>
      </c>
      <c r="C25" s="541">
        <f>'Summery Report'!E27</f>
        <v>3</v>
      </c>
      <c r="D25" s="542">
        <v>1</v>
      </c>
      <c r="E25" s="541">
        <f>Gen!T33</f>
        <v>1128.43</v>
      </c>
      <c r="F25" s="541">
        <f>Gen!U33</f>
        <v>2523</v>
      </c>
      <c r="G25" s="541">
        <f>'Water-Meter'!E28</f>
        <v>67</v>
      </c>
      <c r="H25" s="541">
        <f>'Utility report '!AC28</f>
        <v>37</v>
      </c>
      <c r="I25" s="541">
        <f>Gen!AK33</f>
        <v>0</v>
      </c>
    </row>
    <row r="26" spans="1:9" ht="13.5">
      <c r="A26" s="538">
        <v>43885</v>
      </c>
      <c r="B26" s="540">
        <f>Gen!C34</f>
        <v>0.02</v>
      </c>
      <c r="C26" s="541">
        <f>'Summery Report'!E28</f>
        <v>2</v>
      </c>
      <c r="D26" s="542">
        <v>1</v>
      </c>
      <c r="E26" s="541">
        <f>Gen!T34</f>
        <v>968.5200000000001</v>
      </c>
      <c r="F26" s="541">
        <f>Gen!U34</f>
        <v>2586</v>
      </c>
      <c r="G26" s="541">
        <f>'Water-Meter'!E29</f>
        <v>73</v>
      </c>
      <c r="H26" s="541">
        <f>'Utility report '!AC29</f>
        <v>53</v>
      </c>
      <c r="I26" s="541">
        <f>Gen!AK34</f>
        <v>249.02</v>
      </c>
    </row>
    <row r="27" spans="1:9" ht="13.5">
      <c r="A27" s="538">
        <v>43886</v>
      </c>
      <c r="B27" s="540">
        <f>Gen!C35</f>
        <v>0.02</v>
      </c>
      <c r="C27" s="541">
        <f>'Summery Report'!E29</f>
        <v>2</v>
      </c>
      <c r="D27" s="542">
        <v>1</v>
      </c>
      <c r="E27" s="541">
        <f>Gen!T35</f>
        <v>1052.98</v>
      </c>
      <c r="F27" s="541">
        <f>Gen!U35</f>
        <v>2334</v>
      </c>
      <c r="G27" s="541">
        <f>'Water-Meter'!E30</f>
        <v>60</v>
      </c>
      <c r="H27" s="541">
        <f>'Utility report '!AC30</f>
        <v>61</v>
      </c>
      <c r="I27" s="541">
        <f>Gen!AK35</f>
        <v>14.1</v>
      </c>
    </row>
    <row r="28" spans="1:9" ht="13.5">
      <c r="A28" s="538">
        <v>43887</v>
      </c>
      <c r="B28" s="540">
        <f>Gen!C36</f>
        <v>0.02</v>
      </c>
      <c r="C28" s="541">
        <f>'Summery Report'!E30</f>
        <v>1</v>
      </c>
      <c r="D28" s="542">
        <v>1</v>
      </c>
      <c r="E28" s="541">
        <f>Gen!T36</f>
        <v>1062.08</v>
      </c>
      <c r="F28" s="541">
        <f>Gen!U36</f>
        <v>2348</v>
      </c>
      <c r="G28" s="541">
        <f>'Water-Meter'!E31</f>
        <v>50</v>
      </c>
      <c r="H28" s="541">
        <f>'Utility report '!AC31</f>
        <v>46</v>
      </c>
      <c r="I28" s="541">
        <f>Gen!AK36</f>
        <v>34.57</v>
      </c>
    </row>
    <row r="29" spans="1:9" ht="13.5">
      <c r="A29" s="538">
        <v>43888</v>
      </c>
      <c r="B29" s="540">
        <f>Gen!C37</f>
        <v>0</v>
      </c>
      <c r="C29" s="541">
        <f>'Summery Report'!E31</f>
        <v>1</v>
      </c>
      <c r="D29" s="542">
        <v>1</v>
      </c>
      <c r="E29" s="541">
        <f>Gen!T37</f>
        <v>958.21</v>
      </c>
      <c r="F29" s="541">
        <f>Gen!U37</f>
        <v>2205</v>
      </c>
      <c r="G29" s="541">
        <f>'Water-Meter'!E32</f>
        <v>96</v>
      </c>
      <c r="H29" s="541">
        <f>'Utility report '!AC32</f>
        <v>52</v>
      </c>
      <c r="I29" s="541">
        <f>Gen!AK37</f>
        <v>144.12</v>
      </c>
    </row>
    <row r="30" spans="1:9" ht="13.5">
      <c r="A30" s="538">
        <v>43889</v>
      </c>
      <c r="B30" s="540">
        <f>Gen!C38</f>
        <v>0</v>
      </c>
      <c r="C30" s="541">
        <f>'Summery Report'!E32</f>
        <v>1</v>
      </c>
      <c r="D30" s="542">
        <v>1</v>
      </c>
      <c r="E30" s="541">
        <f>Gen!T38</f>
        <v>811.26</v>
      </c>
      <c r="F30" s="541">
        <f>Gen!U38</f>
        <v>1991</v>
      </c>
      <c r="G30" s="541">
        <f>'Water-Meter'!E33</f>
        <v>32</v>
      </c>
      <c r="H30" s="541">
        <f>'Utility report '!AC33</f>
        <v>135</v>
      </c>
      <c r="I30" s="541">
        <f>Gen!AK38</f>
        <v>78.2</v>
      </c>
    </row>
    <row r="31" spans="1:9" ht="13.5">
      <c r="A31" s="538">
        <v>43890</v>
      </c>
      <c r="B31" s="540">
        <f>Gen!C39</f>
        <v>0</v>
      </c>
      <c r="C31" s="541">
        <f>'Summery Report'!E33</f>
        <v>0</v>
      </c>
      <c r="D31" s="542">
        <v>1</v>
      </c>
      <c r="E31" s="541">
        <f>Gen!T39</f>
        <v>839.53</v>
      </c>
      <c r="F31" s="541">
        <f>Gen!U39</f>
        <v>1988</v>
      </c>
      <c r="G31" s="541">
        <f>'Water-Meter'!E34</f>
        <v>38</v>
      </c>
      <c r="H31" s="541">
        <f>'Utility report '!AC34</f>
        <v>34</v>
      </c>
      <c r="I31" s="541">
        <f>Gen!AK39</f>
        <v>0</v>
      </c>
    </row>
    <row r="32" spans="1:9" ht="13.5">
      <c r="A32" s="538">
        <v>43891</v>
      </c>
      <c r="B32" s="540">
        <f>Gen!C40</f>
        <v>0</v>
      </c>
      <c r="C32" s="541">
        <f>'Summery Report'!E34</f>
        <v>0</v>
      </c>
      <c r="D32" s="542">
        <v>1</v>
      </c>
      <c r="E32" s="541">
        <f>Gen!T40</f>
        <v>935.36</v>
      </c>
      <c r="F32" s="541">
        <f>Gen!U40</f>
        <v>2056</v>
      </c>
      <c r="G32" s="541">
        <f>'Water-Meter'!E35</f>
        <v>46</v>
      </c>
      <c r="H32" s="541">
        <f>'Utility report '!AC35</f>
        <v>50</v>
      </c>
      <c r="I32" s="541">
        <f>Gen!AK40</f>
        <v>0</v>
      </c>
    </row>
    <row r="33" spans="1:9" ht="13.5">
      <c r="A33" s="538">
        <v>43892</v>
      </c>
      <c r="B33" s="540">
        <f>Gen!C41</f>
        <v>0</v>
      </c>
      <c r="C33" s="541">
        <f>'Summery Report'!E35</f>
        <v>0</v>
      </c>
      <c r="D33" s="542">
        <v>1</v>
      </c>
      <c r="E33" s="541">
        <f>Gen!T41</f>
        <v>919.91</v>
      </c>
      <c r="F33" s="541">
        <f>Gen!U41</f>
        <v>2243</v>
      </c>
      <c r="G33" s="541">
        <f>'Water-Meter'!E36</f>
        <v>64</v>
      </c>
      <c r="H33" s="541">
        <f>'Utility report '!AC36</f>
        <v>144</v>
      </c>
      <c r="I33" s="541">
        <f>Gen!AK41</f>
        <v>0</v>
      </c>
    </row>
    <row r="34" spans="1:9" ht="13.5">
      <c r="A34" s="538">
        <v>43893</v>
      </c>
      <c r="B34" s="540">
        <f>Gen!C42</f>
        <v>0</v>
      </c>
      <c r="C34" s="541">
        <f>'Summery Report'!E36</f>
        <v>0</v>
      </c>
      <c r="D34" s="542">
        <v>2</v>
      </c>
      <c r="E34" s="541">
        <f>Gen!T42</f>
        <v>0</v>
      </c>
      <c r="F34" s="541">
        <f>Gen!U42</f>
        <v>0</v>
      </c>
      <c r="G34" s="541" t="str">
        <f>'Water-Meter'!E37</f>
        <v>0</v>
      </c>
      <c r="H34" s="541">
        <f>'Utility report '!AC37</f>
        <v>-30249</v>
      </c>
      <c r="I34" s="541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T43"/>
  <sheetViews>
    <sheetView topLeftCell="A16" zoomScale="85" zoomScaleNormal="85" workbookViewId="0">
      <selection activeCell="A8" sqref="A8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0.855468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3.7109375" customWidth="1"/>
    <col min="17" max="17" width="15.28515625" customWidth="1"/>
    <col min="18" max="18" width="18.85546875" customWidth="1"/>
    <col min="19" max="19" width="15.7109375" customWidth="1"/>
  </cols>
  <sheetData>
    <row r="3" spans="1:19" ht="13.5" thickBot="1"/>
    <row r="4" spans="1:19" ht="33.75">
      <c r="A4" s="607" t="s">
        <v>0</v>
      </c>
      <c r="B4" s="608" t="s">
        <v>142</v>
      </c>
      <c r="C4" s="609" t="s">
        <v>249</v>
      </c>
      <c r="D4" s="770" t="s">
        <v>136</v>
      </c>
      <c r="E4" s="770"/>
      <c r="F4" s="770"/>
      <c r="G4" s="771" t="s">
        <v>20</v>
      </c>
      <c r="H4" s="771"/>
      <c r="I4" s="771"/>
      <c r="J4" s="772" t="s">
        <v>55</v>
      </c>
      <c r="K4" s="772"/>
      <c r="L4" s="772"/>
      <c r="M4" s="772"/>
      <c r="N4" s="773" t="s">
        <v>144</v>
      </c>
      <c r="O4" s="773"/>
      <c r="P4" s="773"/>
      <c r="Q4" s="61"/>
      <c r="R4" s="61"/>
      <c r="S4" s="62"/>
    </row>
    <row r="5" spans="1:19" ht="25.5">
      <c r="A5" s="610"/>
      <c r="B5" s="355"/>
      <c r="C5" s="172"/>
      <c r="D5" s="177" t="s">
        <v>137</v>
      </c>
      <c r="E5" s="177" t="s">
        <v>138</v>
      </c>
      <c r="F5" s="177" t="s">
        <v>122</v>
      </c>
      <c r="G5" s="179" t="s">
        <v>139</v>
      </c>
      <c r="H5" s="179" t="s">
        <v>19</v>
      </c>
      <c r="I5" s="180" t="s">
        <v>140</v>
      </c>
      <c r="J5" s="182" t="s">
        <v>143</v>
      </c>
      <c r="K5" s="182" t="s">
        <v>141</v>
      </c>
      <c r="L5" s="182" t="s">
        <v>141</v>
      </c>
      <c r="M5" s="184" t="s">
        <v>18</v>
      </c>
      <c r="N5" s="173" t="s">
        <v>145</v>
      </c>
      <c r="O5" s="173" t="s">
        <v>147</v>
      </c>
      <c r="P5" s="174" t="s">
        <v>146</v>
      </c>
      <c r="Q5" s="185" t="s">
        <v>149</v>
      </c>
      <c r="R5" s="185" t="s">
        <v>148</v>
      </c>
      <c r="S5" s="611" t="s">
        <v>150</v>
      </c>
    </row>
    <row r="6" spans="1:19" ht="14.25">
      <c r="A6" s="612">
        <f>Gen!B11</f>
        <v>43891</v>
      </c>
      <c r="B6" s="6">
        <f>'Summery Report'!E5</f>
        <v>46</v>
      </c>
      <c r="C6" s="6">
        <f>Gen!U11</f>
        <v>5649</v>
      </c>
      <c r="D6" s="178">
        <f>Gen!T11</f>
        <v>2246.69</v>
      </c>
      <c r="E6" s="178">
        <f>Gen!AK11</f>
        <v>321.77</v>
      </c>
      <c r="F6" s="178">
        <f>Gen!AS11</f>
        <v>2568.46</v>
      </c>
      <c r="G6" s="181">
        <f>'Utility report '!AC6</f>
        <v>182</v>
      </c>
      <c r="H6" s="181">
        <f>'Utility report '!AE6</f>
        <v>100</v>
      </c>
      <c r="I6" s="385">
        <f>'Water-Meter'!E6</f>
        <v>146</v>
      </c>
      <c r="J6" s="183">
        <f>'Lpg (2)'!B10</f>
        <v>62</v>
      </c>
      <c r="K6" s="183">
        <f>'Lpg (2)'!C10</f>
        <v>0</v>
      </c>
      <c r="L6" s="183">
        <f>'Lpg (2)'!D10</f>
        <v>0</v>
      </c>
      <c r="M6" s="606">
        <f>'Lpg (2)'!G10</f>
        <v>123.06800000000513</v>
      </c>
      <c r="N6" s="6"/>
      <c r="O6" s="176">
        <f>E6</f>
        <v>321.77</v>
      </c>
      <c r="P6" s="175" t="e">
        <f>'[1]Lpg (2)'!#REF!</f>
        <v>#REF!</v>
      </c>
      <c r="Q6" s="176" t="e">
        <f>'[1]Summery Report'!#REF!</f>
        <v>#REF!</v>
      </c>
      <c r="R6" s="176">
        <f t="shared" ref="R6:R37" si="0">N6/B6</f>
        <v>0</v>
      </c>
      <c r="S6" s="613" t="e">
        <f t="shared" ref="S6:S37" si="1">Q6/B6</f>
        <v>#REF!</v>
      </c>
    </row>
    <row r="7" spans="1:19" ht="14.25">
      <c r="A7" s="612">
        <f>Gen!B12</f>
        <v>43892</v>
      </c>
      <c r="B7" s="6">
        <f>'Summery Report'!E6</f>
        <v>17</v>
      </c>
      <c r="C7" s="6">
        <f>Gen!U12</f>
        <v>5543</v>
      </c>
      <c r="D7" s="178">
        <f>Gen!T12</f>
        <v>2125.4799999999996</v>
      </c>
      <c r="E7" s="178">
        <f>Gen!AK12</f>
        <v>281.34000000000003</v>
      </c>
      <c r="F7" s="178">
        <f>Gen!AS12</f>
        <v>2406.8199999999997</v>
      </c>
      <c r="G7" s="181">
        <f>'Utility report '!AC7</f>
        <v>184</v>
      </c>
      <c r="H7" s="181">
        <f>'Utility report '!AE7</f>
        <v>105</v>
      </c>
      <c r="I7" s="385">
        <f>'Water-Meter'!E7</f>
        <v>164</v>
      </c>
      <c r="J7" s="183">
        <f>'Lpg (2)'!B11</f>
        <v>59</v>
      </c>
      <c r="K7" s="183">
        <f>'Lpg (2)'!C11</f>
        <v>0</v>
      </c>
      <c r="L7" s="183">
        <f>'Lpg (2)'!D11</f>
        <v>0</v>
      </c>
      <c r="M7" s="606">
        <f>'Lpg (2)'!G11</f>
        <v>166.27599999997184</v>
      </c>
      <c r="N7" s="176">
        <f>D7*1.4</f>
        <v>2975.6719999999991</v>
      </c>
      <c r="O7" s="176">
        <f>E7*1.4</f>
        <v>393.87600000000003</v>
      </c>
      <c r="P7" s="175" t="e">
        <f>'[1]Lpg (2)'!#REF!</f>
        <v>#REF!</v>
      </c>
      <c r="Q7" s="176" t="e">
        <f>'[1]Summery Report'!#REF!</f>
        <v>#REF!</v>
      </c>
      <c r="R7" s="176">
        <f t="shared" si="0"/>
        <v>175.03952941176465</v>
      </c>
      <c r="S7" s="613" t="e">
        <f t="shared" si="1"/>
        <v>#REF!</v>
      </c>
    </row>
    <row r="8" spans="1:19" ht="14.25">
      <c r="A8" s="612">
        <f>Gen!B13</f>
        <v>43893</v>
      </c>
      <c r="B8" s="6">
        <f>'Summery Report'!E7</f>
        <v>12</v>
      </c>
      <c r="C8" s="6">
        <f>Gen!U13</f>
        <v>4636</v>
      </c>
      <c r="D8" s="178">
        <f>Gen!T13</f>
        <v>2081.2800000000002</v>
      </c>
      <c r="E8" s="178">
        <f>Gen!AK13</f>
        <v>55.1</v>
      </c>
      <c r="F8" s="178">
        <f>Gen!AS13</f>
        <v>2136.38</v>
      </c>
      <c r="G8" s="181">
        <f>'Utility report '!AC8</f>
        <v>151</v>
      </c>
      <c r="H8" s="181">
        <f>'Utility report '!AE8</f>
        <v>79</v>
      </c>
      <c r="I8" s="385">
        <f>'Water-Meter'!E8</f>
        <v>164</v>
      </c>
      <c r="J8" s="183">
        <f>'Lpg (2)'!B12</f>
        <v>57</v>
      </c>
      <c r="K8" s="183">
        <f>'Lpg (2)'!C12</f>
        <v>85</v>
      </c>
      <c r="L8" s="183">
        <f>'Lpg (2)'!D12</f>
        <v>85</v>
      </c>
      <c r="M8" s="606">
        <f>'Lpg (2)'!G12</f>
        <v>108.59200000003331</v>
      </c>
      <c r="N8" s="176">
        <f t="shared" ref="N8:O36" si="2">D8*1.4</f>
        <v>2913.7919999999999</v>
      </c>
      <c r="O8" s="176">
        <f t="shared" si="2"/>
        <v>77.14</v>
      </c>
      <c r="P8" s="175" t="e">
        <f>'[1]Lpg (2)'!#REF!</f>
        <v>#REF!</v>
      </c>
      <c r="Q8" s="176" t="e">
        <f>'[1]Summery Report'!#REF!</f>
        <v>#REF!</v>
      </c>
      <c r="R8" s="176">
        <f t="shared" si="0"/>
        <v>242.816</v>
      </c>
      <c r="S8" s="613" t="e">
        <f t="shared" si="1"/>
        <v>#REF!</v>
      </c>
    </row>
    <row r="9" spans="1:19" ht="14.25">
      <c r="A9" s="612">
        <f>Gen!B14</f>
        <v>43894</v>
      </c>
      <c r="B9" s="6">
        <f>'Summery Report'!E8</f>
        <v>77</v>
      </c>
      <c r="C9" s="6">
        <f>Gen!U14</f>
        <v>6200</v>
      </c>
      <c r="D9" s="178">
        <f>Gen!T14</f>
        <v>2421.29</v>
      </c>
      <c r="E9" s="178">
        <f>Gen!AK14</f>
        <v>149.94</v>
      </c>
      <c r="F9" s="178">
        <f>Gen!AS14</f>
        <v>2571.23</v>
      </c>
      <c r="G9" s="181">
        <f>'Utility report '!AC9</f>
        <v>153</v>
      </c>
      <c r="H9" s="181">
        <f>'Utility report '!AE9</f>
        <v>81</v>
      </c>
      <c r="I9" s="385">
        <f>'Water-Meter'!E9</f>
        <v>163</v>
      </c>
      <c r="J9" s="183">
        <f>'Lpg (2)'!B13</f>
        <v>55</v>
      </c>
      <c r="K9" s="183">
        <f>'Lpg (2)'!C13</f>
        <v>85</v>
      </c>
      <c r="L9" s="183">
        <f>'Lpg (2)'!D13</f>
        <v>85</v>
      </c>
      <c r="M9" s="606">
        <f>'Lpg (2)'!G13</f>
        <v>105.60000000000001</v>
      </c>
      <c r="N9" s="176">
        <f t="shared" si="2"/>
        <v>3389.8059999999996</v>
      </c>
      <c r="O9" s="176">
        <f t="shared" si="2"/>
        <v>209.916</v>
      </c>
      <c r="P9" s="175" t="e">
        <f>'[1]Lpg (2)'!#REF!</f>
        <v>#REF!</v>
      </c>
      <c r="Q9" s="176" t="e">
        <f>'[1]Summery Report'!#REF!</f>
        <v>#REF!</v>
      </c>
      <c r="R9" s="176">
        <f t="shared" si="0"/>
        <v>44.023454545454541</v>
      </c>
      <c r="S9" s="613" t="e">
        <f t="shared" si="1"/>
        <v>#REF!</v>
      </c>
    </row>
    <row r="10" spans="1:19" ht="14.25">
      <c r="A10" s="612">
        <f>Gen!B15</f>
        <v>43895</v>
      </c>
      <c r="B10" s="6">
        <f>'Summery Report'!E9</f>
        <v>77</v>
      </c>
      <c r="C10" s="6">
        <f>Gen!U15</f>
        <v>6603</v>
      </c>
      <c r="D10" s="178">
        <f>Gen!T15</f>
        <v>2590.17</v>
      </c>
      <c r="E10" s="178">
        <f>Gen!AK15</f>
        <v>44.9</v>
      </c>
      <c r="F10" s="178">
        <f>Gen!AS15</f>
        <v>2635.07</v>
      </c>
      <c r="G10" s="181">
        <f>'Utility report '!AC10</f>
        <v>159</v>
      </c>
      <c r="H10" s="181">
        <f>'Utility report '!AE10</f>
        <v>136</v>
      </c>
      <c r="I10" s="385">
        <f>'Water-Meter'!E10</f>
        <v>177</v>
      </c>
      <c r="J10" s="183">
        <f>'Lpg (2)'!B14</f>
        <v>52</v>
      </c>
      <c r="K10" s="183">
        <f>'Lpg (2)'!C14</f>
        <v>85</v>
      </c>
      <c r="L10" s="183">
        <f>'Lpg (2)'!D14</f>
        <v>85</v>
      </c>
      <c r="M10" s="606">
        <f>'Lpg (2)'!G14</f>
        <v>103.83999999996159</v>
      </c>
      <c r="N10" s="176">
        <f t="shared" si="2"/>
        <v>3626.2379999999998</v>
      </c>
      <c r="O10" s="176">
        <f t="shared" si="2"/>
        <v>62.859999999999992</v>
      </c>
      <c r="P10" s="175" t="e">
        <f>'[1]Lpg (2)'!#REF!</f>
        <v>#REF!</v>
      </c>
      <c r="Q10" s="176" t="e">
        <f>'[1]Summery Report'!#REF!</f>
        <v>#REF!</v>
      </c>
      <c r="R10" s="176">
        <f t="shared" si="0"/>
        <v>47.094000000000001</v>
      </c>
      <c r="S10" s="613" t="e">
        <f t="shared" si="1"/>
        <v>#REF!</v>
      </c>
    </row>
    <row r="11" spans="1:19" ht="14.25">
      <c r="A11" s="612">
        <f>Gen!B16</f>
        <v>43896</v>
      </c>
      <c r="B11" s="6">
        <f>'Summery Report'!E10</f>
        <v>77</v>
      </c>
      <c r="C11" s="6">
        <f>Gen!U16</f>
        <v>6820</v>
      </c>
      <c r="D11" s="178">
        <f>Gen!T16</f>
        <v>2694.18</v>
      </c>
      <c r="E11" s="178">
        <f>Gen!AK16</f>
        <v>75.03</v>
      </c>
      <c r="F11" s="178">
        <f>Gen!AS16</f>
        <v>2769.21</v>
      </c>
      <c r="G11" s="181">
        <f>'Utility report '!AC11</f>
        <v>125</v>
      </c>
      <c r="H11" s="181">
        <f>'Utility report '!AE11</f>
        <v>140</v>
      </c>
      <c r="I11" s="385">
        <f>'Water-Meter'!E11</f>
        <v>191</v>
      </c>
      <c r="J11" s="183">
        <f>'Lpg (2)'!B15</f>
        <v>49</v>
      </c>
      <c r="K11" s="183">
        <f>'Lpg (2)'!C15</f>
        <v>85</v>
      </c>
      <c r="L11" s="183">
        <f>'Lpg (2)'!D15</f>
        <v>85</v>
      </c>
      <c r="M11" s="606">
        <f>'Lpg (2)'!G15</f>
        <v>87.340000000025611</v>
      </c>
      <c r="N11" s="176">
        <f t="shared" si="2"/>
        <v>3771.8519999999994</v>
      </c>
      <c r="O11" s="176">
        <f t="shared" si="2"/>
        <v>105.042</v>
      </c>
      <c r="P11" s="175" t="e">
        <f>'[1]Lpg (2)'!#REF!</f>
        <v>#REF!</v>
      </c>
      <c r="Q11" s="176" t="e">
        <f>'[1]Summery Report'!#REF!</f>
        <v>#REF!</v>
      </c>
      <c r="R11" s="176">
        <f t="shared" si="0"/>
        <v>48.9850909090909</v>
      </c>
      <c r="S11" s="613" t="e">
        <f t="shared" si="1"/>
        <v>#REF!</v>
      </c>
    </row>
    <row r="12" spans="1:19" ht="14.25">
      <c r="A12" s="612">
        <f>Gen!B17</f>
        <v>43897</v>
      </c>
      <c r="B12" s="6">
        <f>'Summery Report'!E11</f>
        <v>77</v>
      </c>
      <c r="C12" s="6">
        <f>Gen!U17</f>
        <v>7352</v>
      </c>
      <c r="D12" s="178">
        <f>Gen!T17</f>
        <v>2914.3</v>
      </c>
      <c r="E12" s="178">
        <f>Gen!AK17</f>
        <v>87.259999999999991</v>
      </c>
      <c r="F12" s="178">
        <f>Gen!AS17</f>
        <v>3001.5600000000004</v>
      </c>
      <c r="G12" s="181">
        <f>'Utility report '!AC12</f>
        <v>155</v>
      </c>
      <c r="H12" s="181">
        <f>'Utility report '!AE12</f>
        <v>121</v>
      </c>
      <c r="I12" s="385">
        <f>'Water-Meter'!E12</f>
        <v>168</v>
      </c>
      <c r="J12" s="183">
        <f>'Lpg (2)'!B16</f>
        <v>46</v>
      </c>
      <c r="K12" s="183">
        <f>'Lpg (2)'!C16</f>
        <v>85</v>
      </c>
      <c r="L12" s="183">
        <f>'Lpg (2)'!D16</f>
        <v>85</v>
      </c>
      <c r="M12" s="606">
        <f>'Lpg (2)'!G16</f>
        <v>104.98400000000257</v>
      </c>
      <c r="N12" s="176">
        <f t="shared" si="2"/>
        <v>4080.02</v>
      </c>
      <c r="O12" s="176">
        <f t="shared" si="2"/>
        <v>122.16399999999997</v>
      </c>
      <c r="P12" s="175" t="e">
        <f>'[1]Lpg (2)'!#REF!</f>
        <v>#REF!</v>
      </c>
      <c r="Q12" s="176" t="e">
        <f>'[1]Summery Report'!#REF!</f>
        <v>#REF!</v>
      </c>
      <c r="R12" s="176">
        <f t="shared" si="0"/>
        <v>52.987272727272725</v>
      </c>
      <c r="S12" s="613" t="e">
        <f t="shared" si="1"/>
        <v>#REF!</v>
      </c>
    </row>
    <row r="13" spans="1:19" ht="14.25">
      <c r="A13" s="612">
        <f>Gen!B18</f>
        <v>43898</v>
      </c>
      <c r="B13" s="6">
        <f>'Summery Report'!E12</f>
        <v>46</v>
      </c>
      <c r="C13" s="6">
        <f>Gen!U18</f>
        <v>6190</v>
      </c>
      <c r="D13" s="178">
        <f>Gen!T18</f>
        <v>2683.84</v>
      </c>
      <c r="E13" s="178">
        <f>Gen!AK18</f>
        <v>424.4</v>
      </c>
      <c r="F13" s="178">
        <f>Gen!AS18</f>
        <v>3108.2400000000002</v>
      </c>
      <c r="G13" s="181">
        <f>'Utility report '!AC13</f>
        <v>183</v>
      </c>
      <c r="H13" s="181">
        <f>'Utility report '!AE13</f>
        <v>43</v>
      </c>
      <c r="I13" s="385">
        <f>'Water-Meter'!E13</f>
        <v>131</v>
      </c>
      <c r="J13" s="183">
        <f>'Lpg (2)'!B17</f>
        <v>43</v>
      </c>
      <c r="K13" s="183">
        <f>'Lpg (2)'!C17</f>
        <v>85</v>
      </c>
      <c r="L13" s="183">
        <f>'Lpg (2)'!D17</f>
        <v>85</v>
      </c>
      <c r="M13" s="606">
        <f>'Lpg (2)'!G17</f>
        <v>123.7720000000205</v>
      </c>
      <c r="N13" s="176">
        <f t="shared" si="2"/>
        <v>3757.3759999999997</v>
      </c>
      <c r="O13" s="176">
        <f t="shared" si="2"/>
        <v>594.16</v>
      </c>
      <c r="P13" s="175" t="e">
        <f>'[1]Lpg (2)'!#REF!</f>
        <v>#REF!</v>
      </c>
      <c r="Q13" s="176" t="e">
        <f>'[1]Summery Report'!#REF!</f>
        <v>#REF!</v>
      </c>
      <c r="R13" s="176">
        <f t="shared" si="0"/>
        <v>81.682086956521729</v>
      </c>
      <c r="S13" s="613" t="e">
        <f t="shared" si="1"/>
        <v>#REF!</v>
      </c>
    </row>
    <row r="14" spans="1:19" ht="14.25">
      <c r="A14" s="612">
        <f>Gen!B19</f>
        <v>43899</v>
      </c>
      <c r="B14" s="6">
        <f>'Summery Report'!E13</f>
        <v>44</v>
      </c>
      <c r="C14" s="6">
        <f>Gen!U19</f>
        <v>4387</v>
      </c>
      <c r="D14" s="178">
        <f>Gen!T19</f>
        <v>2232.9499999999998</v>
      </c>
      <c r="E14" s="178">
        <f>Gen!AK19</f>
        <v>170.83999999999997</v>
      </c>
      <c r="F14" s="178">
        <f>Gen!AS19</f>
        <v>2403.79</v>
      </c>
      <c r="G14" s="181">
        <f>'Utility report '!AC14</f>
        <v>183</v>
      </c>
      <c r="H14" s="181">
        <f>'Utility report '!AE14</f>
        <v>121</v>
      </c>
      <c r="I14" s="385">
        <f>'Water-Meter'!E14</f>
        <v>117</v>
      </c>
      <c r="J14" s="183">
        <f>'Lpg (2)'!B18</f>
        <v>40</v>
      </c>
      <c r="K14" s="183">
        <f>'Lpg (2)'!C18</f>
        <v>85</v>
      </c>
      <c r="L14" s="183">
        <f>'Lpg (2)'!D18</f>
        <v>85</v>
      </c>
      <c r="M14" s="606">
        <f>'Lpg (2)'!G18</f>
        <v>99.263999999989764</v>
      </c>
      <c r="N14" s="176">
        <f t="shared" si="2"/>
        <v>3126.1299999999997</v>
      </c>
      <c r="O14" s="176">
        <f t="shared" si="2"/>
        <v>239.17599999999996</v>
      </c>
      <c r="P14" s="175" t="e">
        <f>'[1]Lpg (2)'!#REF!</f>
        <v>#REF!</v>
      </c>
      <c r="Q14" s="176" t="e">
        <f>'[1]Summery Report'!#REF!</f>
        <v>#REF!</v>
      </c>
      <c r="R14" s="176">
        <f t="shared" si="0"/>
        <v>71.04840909090909</v>
      </c>
      <c r="S14" s="613" t="e">
        <f t="shared" si="1"/>
        <v>#REF!</v>
      </c>
    </row>
    <row r="15" spans="1:19" ht="14.25">
      <c r="A15" s="612">
        <f>Gen!B20</f>
        <v>43900</v>
      </c>
      <c r="B15" s="6">
        <f>'Summery Report'!E14</f>
        <v>0</v>
      </c>
      <c r="C15" s="6">
        <f>Gen!U20</f>
        <v>5593</v>
      </c>
      <c r="D15" s="178">
        <f>Gen!T20</f>
        <v>2128.3999999999996</v>
      </c>
      <c r="E15" s="178">
        <f>Gen!AK20</f>
        <v>33.880000000000003</v>
      </c>
      <c r="F15" s="178">
        <f>Gen!AS20</f>
        <v>2162.2799999999997</v>
      </c>
      <c r="G15" s="181">
        <f>'Utility report '!AC15</f>
        <v>21</v>
      </c>
      <c r="H15" s="181">
        <f>'Utility report '!AE15</f>
        <v>126</v>
      </c>
      <c r="I15" s="385">
        <f>'Water-Meter'!E15</f>
        <v>129</v>
      </c>
      <c r="J15" s="183">
        <f>'Lpg (2)'!B19</f>
        <v>40</v>
      </c>
      <c r="K15" s="183">
        <f>'Lpg (2)'!C19</f>
        <v>85</v>
      </c>
      <c r="L15" s="183">
        <f>'Lpg (2)'!D19</f>
        <v>82</v>
      </c>
      <c r="M15" s="606">
        <f>'Lpg (2)'!G19</f>
        <v>104.54399999997696</v>
      </c>
      <c r="N15" s="176">
        <f t="shared" si="2"/>
        <v>2979.7599999999993</v>
      </c>
      <c r="O15" s="176">
        <f t="shared" si="2"/>
        <v>47.432000000000002</v>
      </c>
      <c r="P15" s="175" t="e">
        <f>'[1]Lpg (2)'!#REF!</f>
        <v>#REF!</v>
      </c>
      <c r="Q15" s="176" t="e">
        <f>'[1]Summery Report'!#REF!</f>
        <v>#REF!</v>
      </c>
      <c r="R15" s="176" t="e">
        <f t="shared" si="0"/>
        <v>#DIV/0!</v>
      </c>
      <c r="S15" s="613" t="e">
        <f t="shared" si="1"/>
        <v>#REF!</v>
      </c>
    </row>
    <row r="16" spans="1:19" ht="14.25">
      <c r="A16" s="612">
        <f>Gen!B21</f>
        <v>43901</v>
      </c>
      <c r="B16" s="6">
        <f>'Summery Report'!E15</f>
        <v>0</v>
      </c>
      <c r="C16" s="6">
        <f>Gen!U21</f>
        <v>4641</v>
      </c>
      <c r="D16" s="178">
        <f>Gen!T21</f>
        <v>1707.85</v>
      </c>
      <c r="E16" s="178">
        <f>Gen!AK21</f>
        <v>204.76999999999998</v>
      </c>
      <c r="F16" s="178">
        <f>Gen!AS21</f>
        <v>1912.62</v>
      </c>
      <c r="G16" s="181">
        <f>'Utility report '!AC16</f>
        <v>87</v>
      </c>
      <c r="H16" s="181">
        <f>'Utility report '!AE16</f>
        <v>85</v>
      </c>
      <c r="I16" s="385">
        <f>'Water-Meter'!E16</f>
        <v>99</v>
      </c>
      <c r="J16" s="183">
        <f>'Lpg (2)'!B20</f>
        <v>40</v>
      </c>
      <c r="K16" s="183">
        <f>'Lpg (2)'!C20</f>
        <v>85</v>
      </c>
      <c r="L16" s="183">
        <f>'Lpg (2)'!D20</f>
        <v>80</v>
      </c>
      <c r="M16" s="606">
        <f>'Lpg (2)'!G20</f>
        <v>103.26800000000513</v>
      </c>
      <c r="N16" s="176">
        <f t="shared" si="2"/>
        <v>2390.9899999999998</v>
      </c>
      <c r="O16" s="176">
        <f t="shared" si="2"/>
        <v>286.67799999999994</v>
      </c>
      <c r="P16" s="175" t="e">
        <f>'[1]Lpg (2)'!#REF!</f>
        <v>#REF!</v>
      </c>
      <c r="Q16" s="176" t="e">
        <f>'[1]Summery Report'!#REF!</f>
        <v>#REF!</v>
      </c>
      <c r="R16" s="176" t="e">
        <f t="shared" si="0"/>
        <v>#DIV/0!</v>
      </c>
      <c r="S16" s="613" t="e">
        <f t="shared" si="1"/>
        <v>#REF!</v>
      </c>
    </row>
    <row r="17" spans="1:19" ht="14.25">
      <c r="A17" s="612">
        <f>Gen!B22</f>
        <v>43902</v>
      </c>
      <c r="B17" s="6">
        <f>'Summery Report'!E16</f>
        <v>4</v>
      </c>
      <c r="C17" s="6">
        <f>Gen!U22</f>
        <v>4209</v>
      </c>
      <c r="D17" s="178">
        <f>Gen!T22</f>
        <v>2737.5</v>
      </c>
      <c r="E17" s="178">
        <f>Gen!AK22</f>
        <v>106.07</v>
      </c>
      <c r="F17" s="178">
        <f>Gen!AS22</f>
        <v>2843.57</v>
      </c>
      <c r="G17" s="181">
        <f>'Utility report '!AC17</f>
        <v>161</v>
      </c>
      <c r="H17" s="181">
        <f>'Utility report '!AE17</f>
        <v>82</v>
      </c>
      <c r="I17" s="385">
        <f>'Water-Meter'!E17</f>
        <v>77</v>
      </c>
      <c r="J17" s="183">
        <f>'Lpg (2)'!B21</f>
        <v>40</v>
      </c>
      <c r="K17" s="183">
        <f>'Lpg (2)'!C21</f>
        <v>85</v>
      </c>
      <c r="L17" s="183">
        <f>'Lpg (2)'!D21</f>
        <v>78</v>
      </c>
      <c r="M17" s="606">
        <f>'Lpg (2)'!G21</f>
        <v>84.611999999982075</v>
      </c>
      <c r="N17" s="176">
        <f t="shared" si="2"/>
        <v>3832.4999999999995</v>
      </c>
      <c r="O17" s="176">
        <f t="shared" si="2"/>
        <v>148.49799999999999</v>
      </c>
      <c r="P17" s="175" t="e">
        <f>'[1]Lpg (2)'!#REF!</f>
        <v>#REF!</v>
      </c>
      <c r="Q17" s="176" t="e">
        <f>'[1]Summery Report'!#REF!</f>
        <v>#REF!</v>
      </c>
      <c r="R17" s="176">
        <f t="shared" si="0"/>
        <v>958.12499999999989</v>
      </c>
      <c r="S17" s="613" t="e">
        <f t="shared" si="1"/>
        <v>#REF!</v>
      </c>
    </row>
    <row r="18" spans="1:19" ht="14.25">
      <c r="A18" s="612">
        <f>Gen!B23</f>
        <v>43903</v>
      </c>
      <c r="B18" s="6">
        <f>'Summery Report'!E17</f>
        <v>4</v>
      </c>
      <c r="C18" s="6">
        <f>Gen!U23</f>
        <v>3918</v>
      </c>
      <c r="D18" s="178">
        <f>Gen!T23</f>
        <v>2538.1400000000003</v>
      </c>
      <c r="E18" s="178">
        <f>Gen!AK23</f>
        <v>233.75</v>
      </c>
      <c r="F18" s="178">
        <f>Gen!AS23</f>
        <v>2771.8900000000003</v>
      </c>
      <c r="G18" s="181">
        <f>'Utility report '!AC18</f>
        <v>148</v>
      </c>
      <c r="H18" s="181">
        <f>'Utility report '!AE18</f>
        <v>47</v>
      </c>
      <c r="I18" s="385">
        <f>'Water-Meter'!E18</f>
        <v>69</v>
      </c>
      <c r="J18" s="183">
        <f>'Lpg (2)'!B22</f>
        <v>40</v>
      </c>
      <c r="K18" s="183">
        <f>'Lpg (2)'!C22</f>
        <v>85</v>
      </c>
      <c r="L18" s="183">
        <f>'Lpg (2)'!D22</f>
        <v>75</v>
      </c>
      <c r="M18" s="606">
        <f>'Lpg (2)'!G22</f>
        <v>102.08000000005123</v>
      </c>
      <c r="N18" s="176">
        <f t="shared" si="2"/>
        <v>3553.3960000000002</v>
      </c>
      <c r="O18" s="176">
        <f t="shared" si="2"/>
        <v>327.25</v>
      </c>
      <c r="P18" s="175" t="e">
        <f>'[1]Lpg (2)'!#REF!</f>
        <v>#REF!</v>
      </c>
      <c r="Q18" s="176" t="e">
        <f>'[1]Summery Report'!#REF!</f>
        <v>#REF!</v>
      </c>
      <c r="R18" s="176">
        <f t="shared" si="0"/>
        <v>888.34900000000005</v>
      </c>
      <c r="S18" s="613" t="e">
        <f t="shared" si="1"/>
        <v>#REF!</v>
      </c>
    </row>
    <row r="19" spans="1:19" ht="14.25">
      <c r="A19" s="612">
        <f>Gen!B24</f>
        <v>43904</v>
      </c>
      <c r="B19" s="6">
        <f>'Summery Report'!E18</f>
        <v>4</v>
      </c>
      <c r="C19" s="6">
        <f>Gen!U24</f>
        <v>3497</v>
      </c>
      <c r="D19" s="178">
        <f>Gen!T24</f>
        <v>1306.6799999999998</v>
      </c>
      <c r="E19" s="178">
        <f>Gen!AK24</f>
        <v>116.4</v>
      </c>
      <c r="F19" s="178">
        <f>Gen!AS24</f>
        <v>1423.08</v>
      </c>
      <c r="G19" s="181">
        <f>'Utility report '!AC19</f>
        <v>99</v>
      </c>
      <c r="H19" s="181">
        <f>'Utility report '!AE19</f>
        <v>62</v>
      </c>
      <c r="I19" s="385">
        <f>'Water-Meter'!E19</f>
        <v>72</v>
      </c>
      <c r="J19" s="183">
        <f>'Lpg (2)'!B23</f>
        <v>37</v>
      </c>
      <c r="K19" s="183">
        <f>'Lpg (2)'!C23</f>
        <v>85</v>
      </c>
      <c r="L19" s="183">
        <f>'Lpg (2)'!D23</f>
        <v>75</v>
      </c>
      <c r="M19" s="606">
        <f>'Lpg (2)'!G23</f>
        <v>89.319999999948791</v>
      </c>
      <c r="N19" s="176">
        <f t="shared" si="2"/>
        <v>1829.3519999999996</v>
      </c>
      <c r="O19" s="176">
        <f t="shared" si="2"/>
        <v>162.96</v>
      </c>
      <c r="P19" s="175" t="e">
        <f>'[1]Lpg (2)'!#REF!</f>
        <v>#REF!</v>
      </c>
      <c r="Q19" s="176" t="e">
        <f>'[1]Summery Report'!#REF!</f>
        <v>#REF!</v>
      </c>
      <c r="R19" s="176">
        <f t="shared" si="0"/>
        <v>457.33799999999991</v>
      </c>
      <c r="S19" s="613" t="e">
        <f t="shared" si="1"/>
        <v>#REF!</v>
      </c>
    </row>
    <row r="20" spans="1:19" ht="14.25">
      <c r="A20" s="612">
        <f>Gen!B25</f>
        <v>43905</v>
      </c>
      <c r="B20" s="6">
        <f>'Summery Report'!E19</f>
        <v>4</v>
      </c>
      <c r="C20" s="6">
        <f>Gen!U25</f>
        <v>3584</v>
      </c>
      <c r="D20" s="178">
        <f>Gen!T25</f>
        <v>1421.46</v>
      </c>
      <c r="E20" s="178">
        <f>Gen!AK25</f>
        <v>287.96000000000004</v>
      </c>
      <c r="F20" s="178">
        <f>Gen!AS25</f>
        <v>1709.42</v>
      </c>
      <c r="G20" s="181">
        <f>'Utility report '!AC20</f>
        <v>47</v>
      </c>
      <c r="H20" s="181">
        <f>'Utility report '!AE20</f>
        <v>62</v>
      </c>
      <c r="I20" s="385">
        <f>'Water-Meter'!E20</f>
        <v>92</v>
      </c>
      <c r="J20" s="183">
        <f>'Lpg (2)'!B24</f>
        <v>35</v>
      </c>
      <c r="K20" s="183">
        <f>'Lpg (2)'!C24</f>
        <v>85</v>
      </c>
      <c r="L20" s="183">
        <f>'Lpg (2)'!D24</f>
        <v>85</v>
      </c>
      <c r="M20" s="606">
        <f>'Lpg (2)'!G24</f>
        <v>173.62400000002819</v>
      </c>
      <c r="N20" s="176">
        <f t="shared" si="2"/>
        <v>1990.0439999999999</v>
      </c>
      <c r="O20" s="176">
        <f t="shared" si="2"/>
        <v>403.14400000000001</v>
      </c>
      <c r="P20" s="175" t="e">
        <f>'[1]Lpg (2)'!#REF!</f>
        <v>#REF!</v>
      </c>
      <c r="Q20" s="176" t="e">
        <f>'[1]Summery Report'!#REF!</f>
        <v>#REF!</v>
      </c>
      <c r="R20" s="176">
        <f t="shared" si="0"/>
        <v>497.51099999999997</v>
      </c>
      <c r="S20" s="613" t="e">
        <f t="shared" si="1"/>
        <v>#REF!</v>
      </c>
    </row>
    <row r="21" spans="1:19" ht="14.25">
      <c r="A21" s="612">
        <f>Gen!B26</f>
        <v>43906</v>
      </c>
      <c r="B21" s="6">
        <f>'Summery Report'!E20</f>
        <v>5</v>
      </c>
      <c r="C21" s="6">
        <f>Gen!U26</f>
        <v>3345</v>
      </c>
      <c r="D21" s="178">
        <f>Gen!T26</f>
        <v>1366.8200000000002</v>
      </c>
      <c r="E21" s="178">
        <f>Gen!AK26</f>
        <v>79.289999999999992</v>
      </c>
      <c r="F21" s="178">
        <f>Gen!AS26</f>
        <v>1446.1100000000001</v>
      </c>
      <c r="G21" s="181">
        <f>'Utility report '!AC21</f>
        <v>58</v>
      </c>
      <c r="H21" s="181">
        <f>'Utility report '!AE21</f>
        <v>66</v>
      </c>
      <c r="I21" s="385">
        <f>'Water-Meter'!E21</f>
        <v>90</v>
      </c>
      <c r="J21" s="183">
        <f>'Lpg (2)'!B25</f>
        <v>32</v>
      </c>
      <c r="K21" s="183">
        <f>'Lpg (2)'!C25</f>
        <v>85</v>
      </c>
      <c r="L21" s="183">
        <f>'Lpg (2)'!D25</f>
        <v>85</v>
      </c>
      <c r="M21" s="606">
        <f>'Lpg (2)'!G25</f>
        <v>84.7</v>
      </c>
      <c r="N21" s="176">
        <f t="shared" si="2"/>
        <v>1913.548</v>
      </c>
      <c r="O21" s="176">
        <f t="shared" si="2"/>
        <v>111.00599999999999</v>
      </c>
      <c r="P21" s="175" t="e">
        <f>'[1]Lpg (2)'!#REF!</f>
        <v>#REF!</v>
      </c>
      <c r="Q21" s="176" t="e">
        <f>'[1]Summery Report'!#REF!</f>
        <v>#REF!</v>
      </c>
      <c r="R21" s="176">
        <f t="shared" si="0"/>
        <v>382.70960000000002</v>
      </c>
      <c r="S21" s="613" t="e">
        <f t="shared" si="1"/>
        <v>#REF!</v>
      </c>
    </row>
    <row r="22" spans="1:19" ht="14.25">
      <c r="A22" s="612">
        <f>Gen!B27</f>
        <v>43907</v>
      </c>
      <c r="B22" s="6">
        <f>'Summery Report'!E21</f>
        <v>6</v>
      </c>
      <c r="C22" s="6">
        <f>Gen!U27</f>
        <v>3067</v>
      </c>
      <c r="D22" s="178">
        <f>Gen!T27</f>
        <v>1215.42</v>
      </c>
      <c r="E22" s="178">
        <f>Gen!AK27</f>
        <v>50.42</v>
      </c>
      <c r="F22" s="178">
        <f>Gen!AS27</f>
        <v>1265.8400000000001</v>
      </c>
      <c r="G22" s="181">
        <f>'Utility report '!AC22</f>
        <v>50</v>
      </c>
      <c r="H22" s="181">
        <f>'Utility report '!AE22</f>
        <v>48</v>
      </c>
      <c r="I22" s="385">
        <f>'Water-Meter'!E22</f>
        <v>72</v>
      </c>
      <c r="J22" s="183">
        <f>'Lpg (2)'!B26</f>
        <v>31</v>
      </c>
      <c r="K22" s="183">
        <f>'Lpg (2)'!C26</f>
        <v>85</v>
      </c>
      <c r="L22" s="183">
        <f>'Lpg (2)'!D26</f>
        <v>66</v>
      </c>
      <c r="M22" s="606">
        <f>'Lpg (2)'!G26</f>
        <v>80.036000000010247</v>
      </c>
      <c r="N22" s="176">
        <f t="shared" si="2"/>
        <v>1701.588</v>
      </c>
      <c r="O22" s="176">
        <f t="shared" si="2"/>
        <v>70.587999999999994</v>
      </c>
      <c r="P22" s="175" t="e">
        <f>'[1]Lpg (2)'!#REF!</f>
        <v>#REF!</v>
      </c>
      <c r="Q22" s="176" t="e">
        <f>'[1]Summery Report'!#REF!</f>
        <v>#REF!</v>
      </c>
      <c r="R22" s="176">
        <f t="shared" si="0"/>
        <v>283.59800000000001</v>
      </c>
      <c r="S22" s="613" t="e">
        <f t="shared" si="1"/>
        <v>#REF!</v>
      </c>
    </row>
    <row r="23" spans="1:19" ht="14.25">
      <c r="A23" s="612">
        <f>Gen!B28</f>
        <v>43908</v>
      </c>
      <c r="B23" s="6">
        <f>'Summery Report'!E22</f>
        <v>5</v>
      </c>
      <c r="C23" s="6">
        <f>Gen!U28</f>
        <v>2970</v>
      </c>
      <c r="D23" s="178">
        <f>Gen!T28</f>
        <v>1192.8200000000002</v>
      </c>
      <c r="E23" s="178">
        <f>Gen!AK28</f>
        <v>156</v>
      </c>
      <c r="F23" s="178">
        <f>Gen!AS28</f>
        <v>1348.8200000000002</v>
      </c>
      <c r="G23" s="181">
        <f>'Utility report '!AC23</f>
        <v>52</v>
      </c>
      <c r="H23" s="181">
        <f>'Utility report '!AE23</f>
        <v>48</v>
      </c>
      <c r="I23" s="385">
        <f>'Water-Meter'!E23</f>
        <v>57</v>
      </c>
      <c r="J23" s="183">
        <f>'Lpg (2)'!B27</f>
        <v>30</v>
      </c>
      <c r="K23" s="183">
        <f>'Lpg (2)'!C27</f>
        <v>85</v>
      </c>
      <c r="L23" s="183">
        <f>'Lpg (2)'!D27</f>
        <v>66</v>
      </c>
      <c r="M23" s="606">
        <f>'Lpg (2)'!G27</f>
        <v>79.68400000000257</v>
      </c>
      <c r="N23" s="176">
        <f t="shared" si="2"/>
        <v>1669.9480000000001</v>
      </c>
      <c r="O23" s="176">
        <f t="shared" si="2"/>
        <v>218.39999999999998</v>
      </c>
      <c r="P23" s="175" t="e">
        <f>'[1]Lpg (2)'!#REF!</f>
        <v>#REF!</v>
      </c>
      <c r="Q23" s="176" t="e">
        <f>'[1]Summery Report'!#REF!</f>
        <v>#REF!</v>
      </c>
      <c r="R23" s="176">
        <f t="shared" si="0"/>
        <v>333.9896</v>
      </c>
      <c r="S23" s="613" t="e">
        <f t="shared" si="1"/>
        <v>#REF!</v>
      </c>
    </row>
    <row r="24" spans="1:19" ht="14.25">
      <c r="A24" s="612">
        <f>Gen!B29</f>
        <v>43909</v>
      </c>
      <c r="B24" s="6">
        <f>'Summery Report'!E23</f>
        <v>1</v>
      </c>
      <c r="C24" s="6">
        <f>Gen!U29</f>
        <v>2841</v>
      </c>
      <c r="D24" s="178">
        <f>Gen!T29</f>
        <v>1101.77</v>
      </c>
      <c r="E24" s="178">
        <f>Gen!AK29</f>
        <v>97.01</v>
      </c>
      <c r="F24" s="178">
        <f>Gen!AS29</f>
        <v>1198.78</v>
      </c>
      <c r="G24" s="181">
        <f>'Utility report '!AC24</f>
        <v>53</v>
      </c>
      <c r="H24" s="181">
        <f>'Utility report '!AE24</f>
        <v>50</v>
      </c>
      <c r="I24" s="385">
        <f>'Water-Meter'!E24</f>
        <v>72</v>
      </c>
      <c r="J24" s="183">
        <f>'Lpg (2)'!B28</f>
        <v>29</v>
      </c>
      <c r="K24" s="183">
        <f>'Lpg (2)'!C28</f>
        <v>85</v>
      </c>
      <c r="L24" s="183">
        <f>'Lpg (2)'!D28</f>
        <v>66</v>
      </c>
      <c r="M24" s="606">
        <f>'Lpg (2)'!G28</f>
        <v>68.595999999984642</v>
      </c>
      <c r="N24" s="176">
        <f t="shared" si="2"/>
        <v>1542.4779999999998</v>
      </c>
      <c r="O24" s="176">
        <f t="shared" si="2"/>
        <v>135.81399999999999</v>
      </c>
      <c r="P24" s="175" t="e">
        <f>'[1]Lpg (2)'!#REF!</f>
        <v>#REF!</v>
      </c>
      <c r="Q24" s="176" t="e">
        <f>'[1]Summery Report'!#REF!</f>
        <v>#REF!</v>
      </c>
      <c r="R24" s="176">
        <f t="shared" si="0"/>
        <v>1542.4779999999998</v>
      </c>
      <c r="S24" s="613" t="e">
        <f t="shared" si="1"/>
        <v>#REF!</v>
      </c>
    </row>
    <row r="25" spans="1:19" ht="14.25">
      <c r="A25" s="612">
        <f>Gen!B30</f>
        <v>43910</v>
      </c>
      <c r="B25" s="6">
        <f>'Summery Report'!E24</f>
        <v>0</v>
      </c>
      <c r="C25" s="6">
        <f>Gen!U30</f>
        <v>2962</v>
      </c>
      <c r="D25" s="178">
        <f>Gen!T30</f>
        <v>1196.43</v>
      </c>
      <c r="E25" s="178">
        <f>Gen!AK30</f>
        <v>0</v>
      </c>
      <c r="F25" s="178">
        <f>Gen!AS30</f>
        <v>1196.43</v>
      </c>
      <c r="G25" s="181">
        <f>'Utility report '!AC25</f>
        <v>177</v>
      </c>
      <c r="H25" s="181">
        <f>'Utility report '!AE25</f>
        <v>53</v>
      </c>
      <c r="I25" s="385">
        <f>'Water-Meter'!E25</f>
        <v>65</v>
      </c>
      <c r="J25" s="183">
        <f>'Lpg (2)'!B29</f>
        <v>28</v>
      </c>
      <c r="K25" s="183">
        <f>'Lpg (2)'!C29</f>
        <v>85</v>
      </c>
      <c r="L25" s="183">
        <f>'Lpg (2)'!D29</f>
        <v>66</v>
      </c>
      <c r="M25" s="606">
        <f>'Lpg (2)'!G29</f>
        <v>81.268000000005131</v>
      </c>
      <c r="N25" s="176">
        <f t="shared" si="2"/>
        <v>1675.002</v>
      </c>
      <c r="O25" s="176">
        <f t="shared" si="2"/>
        <v>0</v>
      </c>
      <c r="P25" s="175" t="e">
        <f>'[1]Lpg (2)'!#REF!</f>
        <v>#REF!</v>
      </c>
      <c r="Q25" s="176" t="e">
        <f>'[1]Summery Report'!#REF!</f>
        <v>#REF!</v>
      </c>
      <c r="R25" s="176" t="e">
        <f t="shared" si="0"/>
        <v>#DIV/0!</v>
      </c>
      <c r="S25" s="613" t="e">
        <f t="shared" si="1"/>
        <v>#REF!</v>
      </c>
    </row>
    <row r="26" spans="1:19" ht="14.25">
      <c r="A26" s="612">
        <f>Gen!B31</f>
        <v>43911</v>
      </c>
      <c r="B26" s="6">
        <f>'Summery Report'!E25</f>
        <v>0</v>
      </c>
      <c r="C26" s="6">
        <f>Gen!U31</f>
        <v>2667</v>
      </c>
      <c r="D26" s="178">
        <f>Gen!T31</f>
        <v>1103.08</v>
      </c>
      <c r="E26" s="178">
        <f>Gen!AK31</f>
        <v>147.13999999999999</v>
      </c>
      <c r="F26" s="178">
        <f>Gen!AS31</f>
        <v>1250.2199999999998</v>
      </c>
      <c r="G26" s="181">
        <f>'Utility report '!AC26</f>
        <v>111</v>
      </c>
      <c r="H26" s="181">
        <f>'Utility report '!AE26</f>
        <v>51</v>
      </c>
      <c r="I26" s="385">
        <f>'Water-Meter'!E26</f>
        <v>67</v>
      </c>
      <c r="J26" s="183">
        <f>'Lpg (2)'!B30</f>
        <v>27</v>
      </c>
      <c r="K26" s="183">
        <f>'Lpg (2)'!C30</f>
        <v>85</v>
      </c>
      <c r="L26" s="183">
        <f>'Lpg (2)'!D30</f>
        <v>66</v>
      </c>
      <c r="M26" s="606">
        <f>'Lpg (2)'!G30</f>
        <v>48.707999999966709</v>
      </c>
      <c r="N26" s="176">
        <f t="shared" si="2"/>
        <v>1544.3119999999999</v>
      </c>
      <c r="O26" s="176">
        <f t="shared" si="2"/>
        <v>205.99599999999998</v>
      </c>
      <c r="P26" s="175" t="e">
        <f>'[1]Lpg (2)'!#REF!</f>
        <v>#REF!</v>
      </c>
      <c r="Q26" s="176" t="e">
        <f>'[1]Summery Report'!#REF!</f>
        <v>#REF!</v>
      </c>
      <c r="R26" s="176" t="e">
        <f t="shared" si="0"/>
        <v>#DIV/0!</v>
      </c>
      <c r="S26" s="613" t="e">
        <f t="shared" si="1"/>
        <v>#REF!</v>
      </c>
    </row>
    <row r="27" spans="1:19" ht="14.25">
      <c r="A27" s="612">
        <f>Gen!B32</f>
        <v>43912</v>
      </c>
      <c r="B27" s="6">
        <f>'Summery Report'!E26</f>
        <v>3</v>
      </c>
      <c r="C27" s="6">
        <f>Gen!U32</f>
        <v>2379</v>
      </c>
      <c r="D27" s="178">
        <f>Gen!T32</f>
        <v>927.75</v>
      </c>
      <c r="E27" s="178">
        <f>Gen!AK32</f>
        <v>0</v>
      </c>
      <c r="F27" s="178">
        <f>Gen!AS32</f>
        <v>927.75</v>
      </c>
      <c r="G27" s="181">
        <f>'Utility report '!AC27</f>
        <v>105</v>
      </c>
      <c r="H27" s="181">
        <f>'Utility report '!AE27</f>
        <v>43</v>
      </c>
      <c r="I27" s="385">
        <f>'Water-Meter'!E27</f>
        <v>73</v>
      </c>
      <c r="J27" s="183">
        <f>'Lpg (2)'!B31</f>
        <v>26</v>
      </c>
      <c r="K27" s="183">
        <f>'Lpg (2)'!C31</f>
        <v>85</v>
      </c>
      <c r="L27" s="183">
        <f>'Lpg (2)'!D31</f>
        <v>66</v>
      </c>
      <c r="M27" s="606">
        <f>'Lpg (2)'!G31</f>
        <v>47.344000000040985</v>
      </c>
      <c r="N27" s="176">
        <f t="shared" si="2"/>
        <v>1298.8499999999999</v>
      </c>
      <c r="O27" s="176">
        <f t="shared" si="2"/>
        <v>0</v>
      </c>
      <c r="P27" s="175" t="e">
        <f>'[1]Lpg (2)'!#REF!</f>
        <v>#REF!</v>
      </c>
      <c r="Q27" s="176" t="e">
        <f>'[1]Summery Report'!#REF!</f>
        <v>#REF!</v>
      </c>
      <c r="R27" s="176">
        <f t="shared" si="0"/>
        <v>432.95</v>
      </c>
      <c r="S27" s="613" t="e">
        <f t="shared" si="1"/>
        <v>#REF!</v>
      </c>
    </row>
    <row r="28" spans="1:19" ht="14.25">
      <c r="A28" s="612">
        <f>Gen!B33</f>
        <v>43913</v>
      </c>
      <c r="B28" s="6">
        <f>'Summery Report'!E27</f>
        <v>3</v>
      </c>
      <c r="C28" s="6">
        <f>Gen!U33</f>
        <v>2523</v>
      </c>
      <c r="D28" s="178">
        <f>Gen!T33</f>
        <v>1128.43</v>
      </c>
      <c r="E28" s="178">
        <f>Gen!AK33</f>
        <v>0</v>
      </c>
      <c r="F28" s="178">
        <f>Gen!AS33</f>
        <v>1128.43</v>
      </c>
      <c r="G28" s="181">
        <f>'Utility report '!AC28</f>
        <v>37</v>
      </c>
      <c r="H28" s="181">
        <f>'Utility report '!AE28</f>
        <v>40</v>
      </c>
      <c r="I28" s="385">
        <f>'Water-Meter'!E28</f>
        <v>67</v>
      </c>
      <c r="J28" s="183">
        <f>'Lpg (2)'!B32</f>
        <v>25</v>
      </c>
      <c r="K28" s="183">
        <f>'Lpg (2)'!C32</f>
        <v>85</v>
      </c>
      <c r="L28" s="183">
        <f>'Lpg (2)'!D32</f>
        <v>66</v>
      </c>
      <c r="M28" s="606">
        <f>'Lpg (2)'!G32</f>
        <v>62.391999999969272</v>
      </c>
      <c r="N28" s="176">
        <f t="shared" si="2"/>
        <v>1579.8019999999999</v>
      </c>
      <c r="O28" s="176">
        <f t="shared" si="2"/>
        <v>0</v>
      </c>
      <c r="P28" s="175" t="e">
        <f>'[1]Lpg (2)'!#REF!</f>
        <v>#REF!</v>
      </c>
      <c r="Q28" s="176" t="e">
        <f>'[1]Summery Report'!#REF!</f>
        <v>#REF!</v>
      </c>
      <c r="R28" s="176">
        <f t="shared" si="0"/>
        <v>526.6006666666666</v>
      </c>
      <c r="S28" s="613" t="e">
        <f t="shared" si="1"/>
        <v>#REF!</v>
      </c>
    </row>
    <row r="29" spans="1:19" ht="14.25">
      <c r="A29" s="612">
        <f>Gen!B34</f>
        <v>43914</v>
      </c>
      <c r="B29" s="6">
        <f>'Summery Report'!E28</f>
        <v>2</v>
      </c>
      <c r="C29" s="6">
        <f>Gen!U34</f>
        <v>2586</v>
      </c>
      <c r="D29" s="178">
        <f>Gen!T34</f>
        <v>968.5200000000001</v>
      </c>
      <c r="E29" s="178">
        <f>Gen!AK34</f>
        <v>249.02</v>
      </c>
      <c r="F29" s="178">
        <f>Gen!AS34</f>
        <v>1217.5400000000002</v>
      </c>
      <c r="G29" s="181">
        <f>'Utility report '!AC29</f>
        <v>53</v>
      </c>
      <c r="H29" s="181">
        <f>'Utility report '!AE29</f>
        <v>40</v>
      </c>
      <c r="I29" s="385">
        <f>'Water-Meter'!E29</f>
        <v>73</v>
      </c>
      <c r="J29" s="183">
        <f>'Lpg (2)'!B33</f>
        <v>24</v>
      </c>
      <c r="K29" s="183">
        <f>'Lpg (2)'!C33</f>
        <v>85</v>
      </c>
      <c r="L29" s="183">
        <f>'Lpg (2)'!D33</f>
        <v>66</v>
      </c>
      <c r="M29" s="606">
        <f>'Lpg (2)'!G33</f>
        <v>59.663999999989763</v>
      </c>
      <c r="N29" s="176">
        <f t="shared" si="2"/>
        <v>1355.9280000000001</v>
      </c>
      <c r="O29" s="176">
        <f t="shared" si="2"/>
        <v>348.62799999999999</v>
      </c>
      <c r="P29" s="175" t="e">
        <f>'[1]Lpg (2)'!#REF!</f>
        <v>#REF!</v>
      </c>
      <c r="Q29" s="176" t="e">
        <f>'[1]Summery Report'!#REF!</f>
        <v>#REF!</v>
      </c>
      <c r="R29" s="176">
        <f t="shared" si="0"/>
        <v>677.96400000000006</v>
      </c>
      <c r="S29" s="613" t="e">
        <f t="shared" si="1"/>
        <v>#REF!</v>
      </c>
    </row>
    <row r="30" spans="1:19" ht="14.25">
      <c r="A30" s="612">
        <f>Gen!B35</f>
        <v>43915</v>
      </c>
      <c r="B30" s="6">
        <f>'Summery Report'!E29</f>
        <v>2</v>
      </c>
      <c r="C30" s="6">
        <f>Gen!U35</f>
        <v>2334</v>
      </c>
      <c r="D30" s="178">
        <f>Gen!T35</f>
        <v>1052.98</v>
      </c>
      <c r="E30" s="178">
        <f>Gen!AK35</f>
        <v>14.1</v>
      </c>
      <c r="F30" s="178">
        <f>Gen!AS35</f>
        <v>1067.08</v>
      </c>
      <c r="G30" s="181">
        <f>'Utility report '!AC30</f>
        <v>61</v>
      </c>
      <c r="H30" s="181">
        <f>'Utility report '!AE30</f>
        <v>36</v>
      </c>
      <c r="I30" s="385">
        <f>'Water-Meter'!E30</f>
        <v>60</v>
      </c>
      <c r="J30" s="183">
        <f>'Lpg (2)'!B34</f>
        <v>23</v>
      </c>
      <c r="K30" s="183">
        <f>'Lpg (2)'!C34</f>
        <v>85</v>
      </c>
      <c r="L30" s="183">
        <f>'Lpg (2)'!D34</f>
        <v>66</v>
      </c>
      <c r="M30" s="606">
        <f>'Lpg (2)'!G34</f>
        <v>32.120000000012809</v>
      </c>
      <c r="N30" s="176">
        <f t="shared" si="2"/>
        <v>1474.172</v>
      </c>
      <c r="O30" s="176">
        <f t="shared" si="2"/>
        <v>19.739999999999998</v>
      </c>
      <c r="P30" s="175" t="e">
        <f>'[1]Lpg (2)'!#REF!</f>
        <v>#REF!</v>
      </c>
      <c r="Q30" s="176" t="e">
        <f>'[1]Summery Report'!#REF!</f>
        <v>#REF!</v>
      </c>
      <c r="R30" s="176">
        <f t="shared" si="0"/>
        <v>737.08600000000001</v>
      </c>
      <c r="S30" s="613" t="e">
        <f t="shared" si="1"/>
        <v>#REF!</v>
      </c>
    </row>
    <row r="31" spans="1:19" ht="14.25">
      <c r="A31" s="612">
        <f>Gen!B36</f>
        <v>43916</v>
      </c>
      <c r="B31" s="6">
        <f>'Summery Report'!E30</f>
        <v>1</v>
      </c>
      <c r="C31" s="6">
        <f>Gen!U36</f>
        <v>2348</v>
      </c>
      <c r="D31" s="178">
        <f>Gen!T36</f>
        <v>1062.08</v>
      </c>
      <c r="E31" s="178">
        <f>Gen!AK36</f>
        <v>34.57</v>
      </c>
      <c r="F31" s="178">
        <f>Gen!AS36</f>
        <v>1096.6499999999999</v>
      </c>
      <c r="G31" s="181">
        <f>'Utility report '!AC31</f>
        <v>46</v>
      </c>
      <c r="H31" s="181">
        <f>'Utility report '!AE31</f>
        <v>38</v>
      </c>
      <c r="I31" s="385">
        <f>'Water-Meter'!E31</f>
        <v>50</v>
      </c>
      <c r="J31" s="183">
        <f>'Lpg (2)'!B35</f>
        <v>22</v>
      </c>
      <c r="K31" s="183">
        <f>'Lpg (2)'!C35</f>
        <v>85</v>
      </c>
      <c r="L31" s="183">
        <f>'Lpg (2)'!D35</f>
        <v>66</v>
      </c>
      <c r="M31" s="606">
        <f>'Lpg (2)'!G35</f>
        <v>73.040000000025614</v>
      </c>
      <c r="N31" s="176">
        <f t="shared" si="2"/>
        <v>1486.9119999999998</v>
      </c>
      <c r="O31" s="176">
        <f t="shared" si="2"/>
        <v>48.397999999999996</v>
      </c>
      <c r="P31" s="175" t="e">
        <f>'[1]Lpg (2)'!#REF!</f>
        <v>#REF!</v>
      </c>
      <c r="Q31" s="176" t="e">
        <f>'[1]Summery Report'!#REF!</f>
        <v>#REF!</v>
      </c>
      <c r="R31" s="176">
        <f t="shared" si="0"/>
        <v>1486.9119999999998</v>
      </c>
      <c r="S31" s="613" t="e">
        <f t="shared" si="1"/>
        <v>#REF!</v>
      </c>
    </row>
    <row r="32" spans="1:19" ht="14.25">
      <c r="A32" s="612">
        <f>Gen!B37</f>
        <v>43917</v>
      </c>
      <c r="B32" s="6">
        <f>'Summery Report'!E31</f>
        <v>1</v>
      </c>
      <c r="C32" s="6">
        <f>Gen!U37</f>
        <v>2205</v>
      </c>
      <c r="D32" s="178">
        <f>Gen!T37</f>
        <v>958.21</v>
      </c>
      <c r="E32" s="178">
        <f>Gen!AK37</f>
        <v>144.12</v>
      </c>
      <c r="F32" s="178">
        <f>Gen!AS37</f>
        <v>1102.33</v>
      </c>
      <c r="G32" s="181">
        <f>'Utility report '!AC32</f>
        <v>52</v>
      </c>
      <c r="H32" s="181">
        <f>'Utility report '!AE32</f>
        <v>35</v>
      </c>
      <c r="I32" s="385">
        <f>'Water-Meter'!E32</f>
        <v>96</v>
      </c>
      <c r="J32" s="183">
        <f>'Lpg (2)'!B36</f>
        <v>21</v>
      </c>
      <c r="K32" s="183">
        <f>'Lpg (2)'!C36</f>
        <v>85</v>
      </c>
      <c r="L32" s="183">
        <f>'Lpg (2)'!D36</f>
        <v>66</v>
      </c>
      <c r="M32" s="606">
        <f>'Lpg (2)'!G36</f>
        <v>29.436000000010246</v>
      </c>
      <c r="N32" s="176">
        <f t="shared" si="2"/>
        <v>1341.4939999999999</v>
      </c>
      <c r="O32" s="176">
        <f t="shared" si="2"/>
        <v>201.768</v>
      </c>
      <c r="P32" s="175" t="e">
        <f>'[1]Lpg (2)'!#REF!</f>
        <v>#REF!</v>
      </c>
      <c r="Q32" s="176" t="e">
        <f>'[1]Summery Report'!#REF!</f>
        <v>#REF!</v>
      </c>
      <c r="R32" s="176">
        <f t="shared" si="0"/>
        <v>1341.4939999999999</v>
      </c>
      <c r="S32" s="613" t="e">
        <f t="shared" si="1"/>
        <v>#REF!</v>
      </c>
    </row>
    <row r="33" spans="1:20" ht="14.25">
      <c r="A33" s="612">
        <f>Gen!B38</f>
        <v>43918</v>
      </c>
      <c r="B33" s="6">
        <f>'Summery Report'!E32</f>
        <v>1</v>
      </c>
      <c r="C33" s="6">
        <f>Gen!U38</f>
        <v>1991</v>
      </c>
      <c r="D33" s="178">
        <f>Gen!T38</f>
        <v>811.26</v>
      </c>
      <c r="E33" s="178">
        <f>Gen!AK38</f>
        <v>78.2</v>
      </c>
      <c r="F33" s="178">
        <f>Gen!AS38</f>
        <v>889.46</v>
      </c>
      <c r="G33" s="181">
        <f>'Utility report '!AC33</f>
        <v>135</v>
      </c>
      <c r="H33" s="181">
        <f>'Utility report '!AE33</f>
        <v>24</v>
      </c>
      <c r="I33" s="385">
        <f>'Water-Meter'!E33</f>
        <v>32</v>
      </c>
      <c r="J33" s="183">
        <f>'Lpg (2)'!B37</f>
        <v>20</v>
      </c>
      <c r="K33" s="183">
        <f>'Lpg (2)'!C37</f>
        <v>85</v>
      </c>
      <c r="L33" s="183">
        <f>'Lpg (2)'!D37</f>
        <v>66</v>
      </c>
      <c r="M33" s="606">
        <f>'Lpg (2)'!G37</f>
        <v>25.079999999987198</v>
      </c>
      <c r="N33" s="176">
        <f t="shared" si="2"/>
        <v>1135.7639999999999</v>
      </c>
      <c r="O33" s="176">
        <f t="shared" si="2"/>
        <v>109.48</v>
      </c>
      <c r="P33" s="175" t="e">
        <f>'[1]Lpg (2)'!#REF!</f>
        <v>#REF!</v>
      </c>
      <c r="Q33" s="176" t="e">
        <f>'[1]Summery Report'!#REF!</f>
        <v>#REF!</v>
      </c>
      <c r="R33" s="176">
        <f t="shared" si="0"/>
        <v>1135.7639999999999</v>
      </c>
      <c r="S33" s="613" t="e">
        <f t="shared" si="1"/>
        <v>#REF!</v>
      </c>
      <c r="T33">
        <f>3124/13</f>
        <v>240.30769230769232</v>
      </c>
    </row>
    <row r="34" spans="1:20" ht="14.25">
      <c r="A34" s="612">
        <f>Gen!B39</f>
        <v>43919</v>
      </c>
      <c r="B34" s="6">
        <f>'Summery Report'!E33</f>
        <v>0</v>
      </c>
      <c r="C34" s="6">
        <f>Gen!U39</f>
        <v>1988</v>
      </c>
      <c r="D34" s="178">
        <f>Gen!T39</f>
        <v>839.53</v>
      </c>
      <c r="E34" s="178">
        <f>Gen!AK39</f>
        <v>0</v>
      </c>
      <c r="F34" s="178">
        <f>Gen!AS39</f>
        <v>839.53</v>
      </c>
      <c r="G34" s="181">
        <f>'Utility report '!AC34</f>
        <v>34</v>
      </c>
      <c r="H34" s="181">
        <f>'Utility report '!AE34</f>
        <v>25</v>
      </c>
      <c r="I34" s="385">
        <f>'Water-Meter'!E34</f>
        <v>38</v>
      </c>
      <c r="J34" s="183">
        <f>'Lpg (2)'!B38</f>
        <v>19</v>
      </c>
      <c r="K34" s="183">
        <f>'Lpg (2)'!C38</f>
        <v>85</v>
      </c>
      <c r="L34" s="183">
        <f>'Lpg (2)'!D38</f>
        <v>66</v>
      </c>
      <c r="M34" s="606">
        <f>'Lpg (2)'!G38</f>
        <v>24.947999999992319</v>
      </c>
      <c r="N34" s="176">
        <f t="shared" si="2"/>
        <v>1175.3419999999999</v>
      </c>
      <c r="O34" s="176">
        <f t="shared" si="2"/>
        <v>0</v>
      </c>
      <c r="P34" s="175" t="e">
        <f>'[1]Lpg (2)'!#REF!</f>
        <v>#REF!</v>
      </c>
      <c r="Q34" s="176" t="e">
        <f>'[1]Summery Report'!#REF!</f>
        <v>#REF!</v>
      </c>
      <c r="R34" s="176" t="e">
        <f t="shared" si="0"/>
        <v>#DIV/0!</v>
      </c>
      <c r="S34" s="613" t="e">
        <f t="shared" si="1"/>
        <v>#REF!</v>
      </c>
    </row>
    <row r="35" spans="1:20" ht="14.25">
      <c r="A35" s="612">
        <f>Gen!B40</f>
        <v>43920</v>
      </c>
      <c r="B35" s="6">
        <f>'Summery Report'!E34</f>
        <v>0</v>
      </c>
      <c r="C35" s="6">
        <f>Gen!U40</f>
        <v>2056</v>
      </c>
      <c r="D35" s="178">
        <f>Gen!T40</f>
        <v>935.36</v>
      </c>
      <c r="E35" s="178">
        <f>Gen!AK40</f>
        <v>0</v>
      </c>
      <c r="F35" s="178">
        <f>Gen!AS40</f>
        <v>935.36</v>
      </c>
      <c r="G35" s="181">
        <f>'Utility report '!AC35</f>
        <v>50</v>
      </c>
      <c r="H35" s="181">
        <f>'Utility report '!AE35</f>
        <v>26</v>
      </c>
      <c r="I35" s="385">
        <f>'Water-Meter'!E35</f>
        <v>46</v>
      </c>
      <c r="J35" s="183">
        <f>'Lpg (2)'!B39</f>
        <v>18</v>
      </c>
      <c r="K35" s="183">
        <f>'Lpg (2)'!C39</f>
        <v>85</v>
      </c>
      <c r="L35" s="183">
        <f>'Lpg (2)'!D39</f>
        <v>66</v>
      </c>
      <c r="M35" s="606">
        <f>'Lpg (2)'!G39</f>
        <v>27.059999999974391</v>
      </c>
      <c r="N35" s="176">
        <f t="shared" si="2"/>
        <v>1309.5039999999999</v>
      </c>
      <c r="O35" s="176">
        <f t="shared" si="2"/>
        <v>0</v>
      </c>
      <c r="P35" s="175" t="e">
        <f>'[1]Lpg (2)'!#REF!</f>
        <v>#REF!</v>
      </c>
      <c r="Q35" s="176" t="e">
        <f>'[1]Summery Report'!#REF!</f>
        <v>#REF!</v>
      </c>
      <c r="R35" s="176" t="e">
        <f t="shared" si="0"/>
        <v>#DIV/0!</v>
      </c>
      <c r="S35" s="613" t="e">
        <f t="shared" si="1"/>
        <v>#REF!</v>
      </c>
    </row>
    <row r="36" spans="1:20" ht="14.25">
      <c r="A36" s="612">
        <f>Gen!B41</f>
        <v>43921</v>
      </c>
      <c r="B36" s="6">
        <f>'Summery Report'!E35</f>
        <v>0</v>
      </c>
      <c r="C36" s="6">
        <f>Gen!U41</f>
        <v>2243</v>
      </c>
      <c r="D36" s="178">
        <f>Gen!T41</f>
        <v>919.91</v>
      </c>
      <c r="E36" s="178">
        <f>Gen!AK41</f>
        <v>0</v>
      </c>
      <c r="F36" s="178">
        <f>Gen!AS41</f>
        <v>919.91</v>
      </c>
      <c r="G36" s="181">
        <f>'Utility report '!AC36</f>
        <v>144</v>
      </c>
      <c r="H36" s="181">
        <f>'Utility report '!AE36</f>
        <v>28</v>
      </c>
      <c r="I36" s="385">
        <f>'Water-Meter'!E36</f>
        <v>64</v>
      </c>
      <c r="J36" s="183">
        <f>'Lpg (2)'!B40</f>
        <v>17</v>
      </c>
      <c r="K36" s="183">
        <f>'Lpg (2)'!C40</f>
        <v>85</v>
      </c>
      <c r="L36" s="183">
        <f>'Lpg (2)'!D40</f>
        <v>66</v>
      </c>
      <c r="M36" s="606">
        <f>'Lpg (2)'!G40</f>
        <v>23.364000000053785</v>
      </c>
      <c r="N36" s="176">
        <f t="shared" si="2"/>
        <v>1287.8739999999998</v>
      </c>
      <c r="O36" s="176">
        <f t="shared" si="2"/>
        <v>0</v>
      </c>
      <c r="P36" s="175" t="e">
        <f>'[1]Lpg (2)'!#REF!</f>
        <v>#REF!</v>
      </c>
      <c r="Q36" s="176" t="e">
        <f>'[1]Summery Report'!#REF!</f>
        <v>#REF!</v>
      </c>
      <c r="R36" s="176" t="e">
        <f t="shared" si="0"/>
        <v>#DIV/0!</v>
      </c>
      <c r="S36" s="613" t="e">
        <f t="shared" si="1"/>
        <v>#REF!</v>
      </c>
    </row>
    <row r="37" spans="1:20" ht="14.25">
      <c r="A37" s="612">
        <f>Gen!B42</f>
        <v>43922</v>
      </c>
      <c r="B37" s="6">
        <f>'Summery Report'!E36</f>
        <v>0</v>
      </c>
      <c r="C37" s="6">
        <f>Gen!U42</f>
        <v>0</v>
      </c>
      <c r="D37" s="178">
        <f>Gen!T42</f>
        <v>0</v>
      </c>
      <c r="E37" s="178">
        <f>Gen!AK42</f>
        <v>0</v>
      </c>
      <c r="F37" s="178">
        <f>Gen!AS42</f>
        <v>0</v>
      </c>
      <c r="G37" s="181">
        <f>'Utility report '!AC37</f>
        <v>-30249</v>
      </c>
      <c r="H37" s="181">
        <f>'Utility report '!AE37</f>
        <v>-199465</v>
      </c>
      <c r="I37" s="385" t="str">
        <f>'Water-Meter'!E37</f>
        <v>0</v>
      </c>
      <c r="J37" s="183">
        <f>'Lpg (2)'!B41</f>
        <v>16</v>
      </c>
      <c r="K37" s="183">
        <f>'Lpg (2)'!C41</f>
        <v>85</v>
      </c>
      <c r="L37" s="183">
        <f>'Lpg (2)'!D41</f>
        <v>66</v>
      </c>
      <c r="M37" s="606">
        <f>'Lpg (2)'!G41</f>
        <v>24.375999999971828</v>
      </c>
      <c r="N37" s="6"/>
      <c r="O37" s="6"/>
      <c r="P37" s="6"/>
      <c r="Q37" s="176" t="e">
        <f>'[1]Summery Report'!#REF!</f>
        <v>#REF!</v>
      </c>
      <c r="R37" s="176" t="e">
        <f t="shared" si="0"/>
        <v>#DIV/0!</v>
      </c>
      <c r="S37" s="613" t="e">
        <f t="shared" si="1"/>
        <v>#REF!</v>
      </c>
    </row>
    <row r="38" spans="1:20" ht="14.25">
      <c r="A38" s="612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14"/>
    </row>
    <row r="39" spans="1:20" ht="13.5" thickBot="1">
      <c r="A39" s="55" t="s">
        <v>13</v>
      </c>
      <c r="B39" s="615">
        <f>SUM(B7:B37)</f>
        <v>473</v>
      </c>
      <c r="C39" s="615">
        <f>SUM(C7:C35)</f>
        <v>111435</v>
      </c>
      <c r="D39" s="615">
        <f>SUM(D7:D35)</f>
        <v>47443.979999999996</v>
      </c>
      <c r="E39" s="615">
        <f t="shared" ref="E39:S39" si="3">SUM(E7:E35)</f>
        <v>3321.51</v>
      </c>
      <c r="F39" s="615">
        <f t="shared" si="3"/>
        <v>50765.490000000005</v>
      </c>
      <c r="G39" s="615">
        <f t="shared" si="3"/>
        <v>2930</v>
      </c>
      <c r="H39" s="615">
        <f t="shared" si="3"/>
        <v>1913</v>
      </c>
      <c r="I39" s="615">
        <f t="shared" si="3"/>
        <v>2771</v>
      </c>
      <c r="J39" s="615">
        <f t="shared" si="3"/>
        <v>1008</v>
      </c>
      <c r="K39" s="615">
        <f t="shared" si="3"/>
        <v>2380</v>
      </c>
      <c r="L39" s="615">
        <f t="shared" si="3"/>
        <v>2079</v>
      </c>
      <c r="M39" s="615">
        <f t="shared" si="3"/>
        <v>2381.1919999999686</v>
      </c>
      <c r="N39" s="615">
        <f t="shared" si="3"/>
        <v>66421.572</v>
      </c>
      <c r="O39" s="615">
        <f t="shared" si="3"/>
        <v>4650.1139999999996</v>
      </c>
      <c r="P39" s="615" t="e">
        <f t="shared" si="3"/>
        <v>#REF!</v>
      </c>
      <c r="Q39" s="615" t="e">
        <f t="shared" si="3"/>
        <v>#REF!</v>
      </c>
      <c r="R39" s="615" t="e">
        <f t="shared" si="3"/>
        <v>#DIV/0!</v>
      </c>
      <c r="S39" s="616" t="e">
        <f t="shared" si="3"/>
        <v>#REF!</v>
      </c>
    </row>
    <row r="42" spans="1:20">
      <c r="I42" s="745"/>
    </row>
    <row r="43" spans="1:20">
      <c r="I43" s="745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view="pageLayout" topLeftCell="H19" zoomScale="85" zoomScalePageLayoutView="85" workbookViewId="0">
      <selection activeCell="AD40" sqref="AD40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0.5703125" bestFit="1" customWidth="1"/>
    <col min="7" max="7" width="13.42578125" customWidth="1"/>
    <col min="8" max="8" width="16.28515625" bestFit="1" customWidth="1"/>
    <col min="9" max="9" width="12" customWidth="1"/>
    <col min="10" max="11" width="11.710937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.140625" bestFit="1" customWidth="1"/>
    <col min="25" max="26" width="9.42578125" bestFit="1" customWidth="1"/>
    <col min="27" max="27" width="12.5703125" bestFit="1" customWidth="1"/>
    <col min="28" max="30" width="8.710937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>
      <c r="A1" s="782" t="s">
        <v>316</v>
      </c>
      <c r="B1" s="783"/>
      <c r="C1" s="783"/>
      <c r="D1" s="783"/>
      <c r="E1" s="783"/>
      <c r="F1" s="783"/>
      <c r="G1" s="783"/>
      <c r="H1" s="783"/>
      <c r="I1" s="783"/>
      <c r="J1" s="783"/>
      <c r="K1" s="783"/>
      <c r="L1" s="783"/>
      <c r="M1" s="783"/>
      <c r="N1" s="783"/>
      <c r="O1" s="783"/>
      <c r="P1" s="783"/>
      <c r="Q1" s="783"/>
      <c r="R1" s="783"/>
      <c r="S1" s="783"/>
      <c r="T1" s="783"/>
      <c r="U1" s="783"/>
      <c r="V1" s="783"/>
      <c r="W1" s="783"/>
      <c r="X1" s="783"/>
      <c r="Y1" s="783"/>
      <c r="Z1" s="783"/>
      <c r="AA1" s="783"/>
      <c r="AB1" s="783"/>
      <c r="AC1" s="783"/>
      <c r="AD1" s="783"/>
      <c r="AE1" s="783"/>
      <c r="AF1" s="783"/>
      <c r="AG1" s="783"/>
      <c r="AH1" s="783"/>
      <c r="AI1" s="783"/>
      <c r="AJ1" s="783"/>
      <c r="AK1" s="784"/>
    </row>
    <row r="2" spans="1:37" ht="61.5" customHeight="1" thickBot="1">
      <c r="A2" s="149" t="s">
        <v>99</v>
      </c>
      <c r="B2" s="785" t="s">
        <v>100</v>
      </c>
      <c r="C2" s="786"/>
      <c r="D2" s="787"/>
      <c r="E2" s="150"/>
      <c r="F2" s="150"/>
      <c r="G2" s="150"/>
      <c r="H2" s="147" t="s">
        <v>125</v>
      </c>
      <c r="I2" s="371" t="s">
        <v>101</v>
      </c>
      <c r="J2" s="790" t="s">
        <v>123</v>
      </c>
      <c r="K2" s="557"/>
      <c r="L2" s="792" t="s">
        <v>124</v>
      </c>
      <c r="M2" s="556" t="s">
        <v>102</v>
      </c>
      <c r="N2" s="790" t="s">
        <v>103</v>
      </c>
      <c r="O2" s="774" t="s">
        <v>104</v>
      </c>
      <c r="P2" s="775"/>
      <c r="Q2" s="775"/>
      <c r="R2" s="775"/>
      <c r="S2" s="775"/>
      <c r="T2" s="775"/>
      <c r="U2" s="775"/>
      <c r="V2" s="775"/>
      <c r="W2" s="775"/>
      <c r="X2" s="775"/>
      <c r="Y2" s="775"/>
      <c r="Z2" s="775"/>
      <c r="AA2" s="372" t="s">
        <v>105</v>
      </c>
      <c r="AB2" s="785" t="s">
        <v>165</v>
      </c>
      <c r="AC2" s="787"/>
      <c r="AD2" s="146">
        <v>0</v>
      </c>
      <c r="AE2" s="534" t="s">
        <v>19</v>
      </c>
      <c r="AF2" s="151" t="s">
        <v>106</v>
      </c>
      <c r="AG2" s="147" t="s">
        <v>107</v>
      </c>
      <c r="AH2" s="151" t="s">
        <v>108</v>
      </c>
      <c r="AI2" s="147" t="s">
        <v>109</v>
      </c>
      <c r="AJ2" s="148" t="s">
        <v>110</v>
      </c>
      <c r="AK2" s="147" t="s">
        <v>111</v>
      </c>
    </row>
    <row r="3" spans="1:37" ht="44.25" customHeight="1" thickBot="1">
      <c r="A3" s="154" t="s">
        <v>126</v>
      </c>
      <c r="B3" s="155">
        <v>1640</v>
      </c>
      <c r="C3" s="153" t="s">
        <v>127</v>
      </c>
      <c r="D3" s="155">
        <v>2175</v>
      </c>
      <c r="E3" s="156"/>
      <c r="F3" s="788">
        <f>SUM(D3/B3)</f>
        <v>1.3262195121951219</v>
      </c>
      <c r="G3" s="789"/>
      <c r="H3" s="130">
        <f>Gen!D11</f>
        <v>32302.73</v>
      </c>
      <c r="I3" s="140"/>
      <c r="J3" s="790"/>
      <c r="K3" s="557" t="s">
        <v>166</v>
      </c>
      <c r="L3" s="792"/>
      <c r="M3" s="373" t="s">
        <v>112</v>
      </c>
      <c r="N3" s="790"/>
      <c r="O3" s="774" t="s">
        <v>113</v>
      </c>
      <c r="P3" s="775"/>
      <c r="Q3" s="775"/>
      <c r="R3" s="775"/>
      <c r="S3" s="776" t="s">
        <v>114</v>
      </c>
      <c r="T3" s="777"/>
      <c r="U3" s="777"/>
      <c r="V3" s="778"/>
      <c r="W3" s="779" t="s">
        <v>115</v>
      </c>
      <c r="X3" s="780"/>
      <c r="Y3" s="780"/>
      <c r="Z3" s="781"/>
      <c r="AA3" s="374" t="s">
        <v>116</v>
      </c>
      <c r="AB3" s="129" t="s">
        <v>112</v>
      </c>
      <c r="AC3" s="129" t="s">
        <v>117</v>
      </c>
      <c r="AD3" s="129">
        <v>0</v>
      </c>
      <c r="AE3" s="129" t="s">
        <v>117</v>
      </c>
      <c r="AF3" s="131" t="s">
        <v>118</v>
      </c>
      <c r="AG3" s="132" t="s">
        <v>118</v>
      </c>
      <c r="AH3" s="133" t="s">
        <v>118</v>
      </c>
      <c r="AI3" s="134" t="s">
        <v>119</v>
      </c>
      <c r="AJ3" s="135" t="s">
        <v>116</v>
      </c>
      <c r="AK3" s="136" t="s">
        <v>116</v>
      </c>
    </row>
    <row r="4" spans="1:37" ht="75.75" thickBot="1">
      <c r="A4" s="221"/>
      <c r="B4" s="222" t="s">
        <v>131</v>
      </c>
      <c r="C4" s="223" t="s">
        <v>1</v>
      </c>
      <c r="D4" s="224" t="s">
        <v>128</v>
      </c>
      <c r="E4" s="225"/>
      <c r="F4" s="225" t="s">
        <v>129</v>
      </c>
      <c r="G4" s="225" t="s">
        <v>130</v>
      </c>
      <c r="H4" s="226"/>
      <c r="I4" s="226"/>
      <c r="J4" s="790"/>
      <c r="K4" s="557"/>
      <c r="L4" s="792"/>
      <c r="M4" s="142"/>
      <c r="N4" s="791"/>
      <c r="O4" s="375" t="s">
        <v>174</v>
      </c>
      <c r="P4" s="376" t="s">
        <v>172</v>
      </c>
      <c r="Q4" s="376" t="s">
        <v>121</v>
      </c>
      <c r="R4" s="224" t="s">
        <v>173</v>
      </c>
      <c r="S4" s="375" t="s">
        <v>174</v>
      </c>
      <c r="T4" s="376" t="s">
        <v>172</v>
      </c>
      <c r="U4" s="376" t="s">
        <v>121</v>
      </c>
      <c r="V4" s="224" t="s">
        <v>173</v>
      </c>
      <c r="W4" s="375" t="s">
        <v>174</v>
      </c>
      <c r="X4" s="377" t="s">
        <v>310</v>
      </c>
      <c r="Y4" s="377" t="s">
        <v>121</v>
      </c>
      <c r="Z4" s="376" t="s">
        <v>173</v>
      </c>
      <c r="AA4" s="378" t="s">
        <v>120</v>
      </c>
      <c r="AB4" s="243"/>
      <c r="AC4" s="232" t="s">
        <v>120</v>
      </c>
      <c r="AD4" s="243"/>
      <c r="AE4" s="232" t="s">
        <v>120</v>
      </c>
      <c r="AF4" s="233">
        <v>2000</v>
      </c>
      <c r="AG4" s="234">
        <v>1000</v>
      </c>
      <c r="AH4" s="235">
        <v>1000</v>
      </c>
      <c r="AI4" s="236">
        <f>SUM([2]Sheet1!$AA$36)</f>
        <v>950</v>
      </c>
      <c r="AJ4" s="237" t="s">
        <v>10</v>
      </c>
      <c r="AK4" s="236" t="s">
        <v>120</v>
      </c>
    </row>
    <row r="5" spans="1:37" ht="19.5" thickBot="1">
      <c r="A5" s="227"/>
      <c r="B5" s="228"/>
      <c r="C5" s="229"/>
      <c r="D5" s="228"/>
      <c r="E5" s="228"/>
      <c r="F5" s="228"/>
      <c r="G5" s="228"/>
      <c r="H5" s="230"/>
      <c r="I5" s="230"/>
      <c r="J5" s="231"/>
      <c r="K5" s="231"/>
      <c r="L5" s="231"/>
      <c r="M5" s="142"/>
      <c r="N5" s="231"/>
      <c r="O5" s="231"/>
      <c r="P5" s="512">
        <v>19015</v>
      </c>
      <c r="Q5" s="76"/>
      <c r="R5" s="231"/>
      <c r="S5" s="231"/>
      <c r="T5" s="645">
        <v>15720</v>
      </c>
      <c r="U5" s="231"/>
      <c r="V5" s="231"/>
      <c r="W5" s="231"/>
      <c r="X5" s="643">
        <v>23794</v>
      </c>
      <c r="Y5" s="231"/>
      <c r="Z5" s="231"/>
      <c r="AA5" s="231"/>
      <c r="AB5" s="644">
        <v>26993</v>
      </c>
      <c r="AC5" s="137"/>
      <c r="AD5" s="512">
        <v>197424</v>
      </c>
      <c r="AE5" s="227"/>
      <c r="AF5" s="242">
        <v>0.85</v>
      </c>
      <c r="AG5" s="242">
        <v>0.85</v>
      </c>
      <c r="AH5" s="242">
        <v>0.85</v>
      </c>
      <c r="AI5" s="231"/>
      <c r="AJ5" s="231"/>
      <c r="AK5" s="231"/>
    </row>
    <row r="6" spans="1:37" ht="19.5" thickBot="1">
      <c r="A6" s="95">
        <f>Gen!B11</f>
        <v>43891</v>
      </c>
      <c r="B6" s="568">
        <f>'Summery Report'!E5</f>
        <v>46</v>
      </c>
      <c r="C6" s="157">
        <f>Gen!C11</f>
        <v>0.57140000000000002</v>
      </c>
      <c r="D6" s="569">
        <f>'Summery Report'!E5</f>
        <v>46</v>
      </c>
      <c r="E6" s="570">
        <f>SUM(F3)</f>
        <v>1.3262195121951219</v>
      </c>
      <c r="F6" s="571">
        <f>SUM(J6*E6)/D6</f>
        <v>64.774002518557793</v>
      </c>
      <c r="G6" s="571">
        <f t="shared" ref="G6:G36" si="0">SUM(L6*E6)/D6</f>
        <v>74.050908006362675</v>
      </c>
      <c r="H6" s="570">
        <f>Gen!D11</f>
        <v>32302.73</v>
      </c>
      <c r="I6" s="572">
        <f>Gen!F11</f>
        <v>0</v>
      </c>
      <c r="J6" s="141">
        <f>Gen!T11</f>
        <v>2246.69</v>
      </c>
      <c r="K6" s="141">
        <f>Gen!AK11</f>
        <v>321.77</v>
      </c>
      <c r="L6" s="141">
        <f t="shared" ref="L6:L37" si="1">SUM(J6:K6)</f>
        <v>2568.46</v>
      </c>
      <c r="M6" s="605">
        <f>'Water-Meter'!K46</f>
        <v>398.83512587798856</v>
      </c>
      <c r="N6" s="220">
        <f>'Water-Meter'!E6</f>
        <v>146</v>
      </c>
      <c r="O6" s="231"/>
      <c r="P6" s="512">
        <v>19015</v>
      </c>
      <c r="Q6" s="573">
        <f t="shared" ref="Q6:Q36" si="2">SUM(P6-P5)</f>
        <v>0</v>
      </c>
      <c r="R6" s="574">
        <f>SUM(Q6*O6)</f>
        <v>0</v>
      </c>
      <c r="S6" s="512">
        <v>6</v>
      </c>
      <c r="T6" s="645">
        <v>15742</v>
      </c>
      <c r="U6" s="573">
        <f>T6-T5</f>
        <v>22</v>
      </c>
      <c r="V6" s="575" t="s">
        <v>247</v>
      </c>
      <c r="W6" s="231"/>
      <c r="X6" s="643">
        <v>23818</v>
      </c>
      <c r="Y6" s="573">
        <f>X6-X5</f>
        <v>24</v>
      </c>
      <c r="Z6" s="573">
        <f t="shared" ref="Z6:AA6" si="3">Y6-Y5</f>
        <v>24</v>
      </c>
      <c r="AA6" s="573">
        <f t="shared" si="3"/>
        <v>24</v>
      </c>
      <c r="AB6" s="644">
        <v>27175</v>
      </c>
      <c r="AC6" s="137">
        <f>AB6-AB5</f>
        <v>182</v>
      </c>
      <c r="AD6" s="512">
        <v>197524</v>
      </c>
      <c r="AE6" s="238">
        <f>AD6-AD5</f>
        <v>100</v>
      </c>
      <c r="AF6" s="349">
        <f>'Lpg (2)'!B10*2000/85</f>
        <v>1458.8235294117646</v>
      </c>
      <c r="AG6" s="350">
        <f>'Lpg (2)'!C10*1000/85</f>
        <v>0</v>
      </c>
      <c r="AH6" s="351">
        <f>'Lpg (2)'!D10*1000/85</f>
        <v>0</v>
      </c>
      <c r="AI6" s="576">
        <f>SUM(AF6*2000)+(AG6*1000)+(AH6*1000)</f>
        <v>2917647.0588235292</v>
      </c>
      <c r="AJ6" s="577">
        <f t="shared" ref="AJ6:AJ36" si="4">SUM(AI5-AI6)</f>
        <v>-2917647.0588235292</v>
      </c>
      <c r="AK6" s="239"/>
    </row>
    <row r="7" spans="1:37" ht="19.5" thickBot="1">
      <c r="A7" s="95">
        <f>Gen!B12</f>
        <v>43892</v>
      </c>
      <c r="B7" s="568">
        <f>'Summery Report'!E6</f>
        <v>17</v>
      </c>
      <c r="C7" s="157">
        <f>Gen!C12</f>
        <v>0.2208</v>
      </c>
      <c r="D7" s="569">
        <f>'Summery Report'!E6</f>
        <v>17</v>
      </c>
      <c r="E7" s="570">
        <f>SUM(E6)</f>
        <v>1.3262195121951219</v>
      </c>
      <c r="F7" s="571">
        <f>SUM(J7*E7)/D7</f>
        <v>165.81488522238158</v>
      </c>
      <c r="G7" s="571">
        <f t="shared" si="0"/>
        <v>187.76303802008604</v>
      </c>
      <c r="H7" s="570">
        <f>Gen!D12</f>
        <v>47734.270000000004</v>
      </c>
      <c r="I7" s="572">
        <f>Gen!F12</f>
        <v>18000</v>
      </c>
      <c r="J7" s="141">
        <f>Gen!T12</f>
        <v>2125.4799999999996</v>
      </c>
      <c r="K7" s="141">
        <f>Gen!AK12</f>
        <v>281.34000000000003</v>
      </c>
      <c r="L7" s="141">
        <f t="shared" si="1"/>
        <v>2406.8199999999997</v>
      </c>
      <c r="M7" s="605">
        <f>'Water-Meter'!K47</f>
        <v>319.53630183182679</v>
      </c>
      <c r="N7" s="220">
        <f>'Water-Meter'!E7</f>
        <v>164</v>
      </c>
      <c r="O7" s="231"/>
      <c r="P7" s="512">
        <v>19015</v>
      </c>
      <c r="Q7" s="573">
        <f t="shared" si="2"/>
        <v>0</v>
      </c>
      <c r="R7" s="574">
        <f t="shared" ref="R7:R36" si="5">SUM(Q7*O7)</f>
        <v>0</v>
      </c>
      <c r="S7" s="512"/>
      <c r="T7" s="645">
        <v>15766</v>
      </c>
      <c r="U7" s="573">
        <f t="shared" ref="U7:U36" si="6">T7-T6</f>
        <v>24</v>
      </c>
      <c r="V7" s="575">
        <f t="shared" ref="V7:V9" si="7">SUM(U7*S7)</f>
        <v>0</v>
      </c>
      <c r="W7" s="231"/>
      <c r="X7" s="643">
        <v>23842</v>
      </c>
      <c r="Y7" s="573">
        <f t="shared" ref="Y7:Y36" si="8">X7-X6</f>
        <v>24</v>
      </c>
      <c r="Z7" s="575">
        <f t="shared" ref="Z7:Z36" si="9">SUM(Y7*W7)</f>
        <v>0</v>
      </c>
      <c r="AA7" s="575">
        <f t="shared" ref="AA7:AA36" si="10">SUM(Z7*X9)</f>
        <v>0</v>
      </c>
      <c r="AB7" s="644">
        <v>27359</v>
      </c>
      <c r="AC7" s="137">
        <f t="shared" ref="AC7:AC27" si="11">AB7-AB6</f>
        <v>184</v>
      </c>
      <c r="AD7" s="512">
        <v>197629</v>
      </c>
      <c r="AE7" s="238">
        <f>AD7-AD6</f>
        <v>105</v>
      </c>
      <c r="AF7" s="349">
        <f>'Lpg (2)'!B11*2000/85</f>
        <v>1388.2352941176471</v>
      </c>
      <c r="AG7" s="350">
        <f>'Lpg (2)'!C11*1000/85</f>
        <v>0</v>
      </c>
      <c r="AH7" s="351">
        <f>'Lpg (2)'!D11*1000/85</f>
        <v>0</v>
      </c>
      <c r="AI7" s="578">
        <f t="shared" ref="AI7:AI14" si="12">SUM(AF6*2000)+(AG7*1000)+(AH7*1000)</f>
        <v>2917647.0588235292</v>
      </c>
      <c r="AJ7" s="577">
        <f t="shared" si="4"/>
        <v>0</v>
      </c>
      <c r="AK7" s="143"/>
    </row>
    <row r="8" spans="1:37" ht="19.5" thickBot="1">
      <c r="A8" s="95">
        <f>Gen!B13</f>
        <v>43893</v>
      </c>
      <c r="B8" s="568">
        <f>'Summery Report'!E7</f>
        <v>12</v>
      </c>
      <c r="C8" s="157">
        <f>Gen!C13</f>
        <v>0.1429</v>
      </c>
      <c r="D8" s="569">
        <f>'Summery Report'!E7</f>
        <v>12</v>
      </c>
      <c r="E8" s="570">
        <f t="shared" ref="E8:E36" si="13">SUM(E7)</f>
        <v>1.3262195121951219</v>
      </c>
      <c r="F8" s="571">
        <f t="shared" ref="F8:F36" si="14">SUM(J8*E8)/D8</f>
        <v>230.01951219512196</v>
      </c>
      <c r="G8" s="571">
        <f t="shared" si="0"/>
        <v>236.10907012195125</v>
      </c>
      <c r="H8" s="570">
        <f>Gen!D13</f>
        <v>45327.450000000004</v>
      </c>
      <c r="I8" s="572">
        <f>Gen!F13</f>
        <v>0</v>
      </c>
      <c r="J8" s="141">
        <f>Gen!T13</f>
        <v>2081.2800000000002</v>
      </c>
      <c r="K8" s="141">
        <f>Gen!AK13</f>
        <v>55.1</v>
      </c>
      <c r="L8" s="141">
        <f t="shared" si="1"/>
        <v>2136.38</v>
      </c>
      <c r="M8" s="605">
        <f>'Water-Meter'!K48</f>
        <v>285.71003184633707</v>
      </c>
      <c r="N8" s="220">
        <f>'Water-Meter'!E8</f>
        <v>164</v>
      </c>
      <c r="O8" s="231"/>
      <c r="P8" s="512">
        <v>19015</v>
      </c>
      <c r="Q8" s="573">
        <f t="shared" si="2"/>
        <v>0</v>
      </c>
      <c r="R8" s="574">
        <f t="shared" si="5"/>
        <v>0</v>
      </c>
      <c r="S8" s="512"/>
      <c r="T8" s="645">
        <v>15790</v>
      </c>
      <c r="U8" s="573">
        <f t="shared" si="6"/>
        <v>24</v>
      </c>
      <c r="V8" s="575">
        <f t="shared" si="7"/>
        <v>0</v>
      </c>
      <c r="W8" s="512"/>
      <c r="X8" s="643">
        <v>23843</v>
      </c>
      <c r="Y8" s="573">
        <f t="shared" si="8"/>
        <v>1</v>
      </c>
      <c r="Z8" s="575">
        <f t="shared" si="9"/>
        <v>0</v>
      </c>
      <c r="AA8" s="575">
        <f t="shared" si="10"/>
        <v>0</v>
      </c>
      <c r="AB8" s="644">
        <v>27510</v>
      </c>
      <c r="AC8" s="137">
        <f t="shared" si="11"/>
        <v>151</v>
      </c>
      <c r="AD8" s="512">
        <v>197708</v>
      </c>
      <c r="AE8" s="238">
        <f t="shared" ref="AE8:AE37" si="15">AD8-AD7</f>
        <v>79</v>
      </c>
      <c r="AF8" s="349">
        <f>'Lpg (2)'!B12*2000/85</f>
        <v>1341.1764705882354</v>
      </c>
      <c r="AG8" s="350">
        <f>'Lpg (2)'!C12*1000/85</f>
        <v>1000</v>
      </c>
      <c r="AH8" s="351">
        <f>'Lpg (2)'!D12*1000/85</f>
        <v>1000</v>
      </c>
      <c r="AI8" s="578">
        <f t="shared" si="12"/>
        <v>4776470.5882352944</v>
      </c>
      <c r="AJ8" s="577">
        <f t="shared" si="4"/>
        <v>-1858823.5294117653</v>
      </c>
      <c r="AK8" s="143"/>
    </row>
    <row r="9" spans="1:37" ht="19.5" thickBot="1">
      <c r="A9" s="95">
        <f>Gen!B14</f>
        <v>43894</v>
      </c>
      <c r="B9" s="568">
        <f>'Summery Report'!E8</f>
        <v>77</v>
      </c>
      <c r="C9" s="157">
        <f>Gen!C14</f>
        <v>1</v>
      </c>
      <c r="D9" s="569">
        <f>'Summery Report'!E8</f>
        <v>77</v>
      </c>
      <c r="E9" s="570">
        <f t="shared" si="13"/>
        <v>1.3262195121951219</v>
      </c>
      <c r="F9" s="571">
        <f t="shared" si="14"/>
        <v>41.70340315172632</v>
      </c>
      <c r="G9" s="571">
        <f t="shared" si="0"/>
        <v>44.285914238200817</v>
      </c>
      <c r="H9" s="570">
        <f>Gen!D14</f>
        <v>43191.070000000007</v>
      </c>
      <c r="I9" s="572">
        <f>Gen!F14</f>
        <v>0</v>
      </c>
      <c r="J9" s="141">
        <f>Gen!T14</f>
        <v>2421.29</v>
      </c>
      <c r="K9" s="141">
        <f>Gen!AK14</f>
        <v>149.94</v>
      </c>
      <c r="L9" s="141">
        <f t="shared" si="1"/>
        <v>2571.23</v>
      </c>
      <c r="M9" s="605">
        <f>'Water-Meter'!K49</f>
        <v>303.55710583556748</v>
      </c>
      <c r="N9" s="220">
        <f>'Water-Meter'!E9</f>
        <v>163</v>
      </c>
      <c r="O9" s="231"/>
      <c r="P9" s="512">
        <v>19015</v>
      </c>
      <c r="Q9" s="573">
        <f t="shared" si="2"/>
        <v>0</v>
      </c>
      <c r="R9" s="574">
        <f t="shared" si="5"/>
        <v>0</v>
      </c>
      <c r="S9" s="512">
        <v>6.2</v>
      </c>
      <c r="T9" s="645">
        <v>15815</v>
      </c>
      <c r="U9" s="573">
        <f t="shared" si="6"/>
        <v>25</v>
      </c>
      <c r="V9" s="575">
        <f t="shared" si="7"/>
        <v>155</v>
      </c>
      <c r="W9" s="512"/>
      <c r="X9" s="643">
        <v>23843</v>
      </c>
      <c r="Y9" s="573">
        <f t="shared" si="8"/>
        <v>0</v>
      </c>
      <c r="Z9" s="575">
        <f t="shared" si="9"/>
        <v>0</v>
      </c>
      <c r="AA9" s="575">
        <f t="shared" si="10"/>
        <v>0</v>
      </c>
      <c r="AB9" s="644">
        <v>27663</v>
      </c>
      <c r="AC9" s="137">
        <f t="shared" si="11"/>
        <v>153</v>
      </c>
      <c r="AD9" s="512">
        <v>197789</v>
      </c>
      <c r="AE9" s="238">
        <f t="shared" si="15"/>
        <v>81</v>
      </c>
      <c r="AF9" s="349">
        <f>'Lpg (2)'!B13*2000/85</f>
        <v>1294.1176470588234</v>
      </c>
      <c r="AG9" s="350">
        <f>'Lpg (2)'!C13*1000/85</f>
        <v>1000</v>
      </c>
      <c r="AH9" s="351">
        <f>'Lpg (2)'!D13*1000/85</f>
        <v>1000</v>
      </c>
      <c r="AI9" s="578">
        <f t="shared" si="12"/>
        <v>4682352.9411764704</v>
      </c>
      <c r="AJ9" s="577">
        <f t="shared" si="4"/>
        <v>94117.647058824077</v>
      </c>
      <c r="AK9" s="143"/>
    </row>
    <row r="10" spans="1:37" ht="19.5" thickBot="1">
      <c r="A10" s="95">
        <f>Gen!B15</f>
        <v>43895</v>
      </c>
      <c r="B10" s="568">
        <f>'Summery Report'!E9</f>
        <v>77</v>
      </c>
      <c r="C10" s="157">
        <f>Gen!C15</f>
        <v>1</v>
      </c>
      <c r="D10" s="569">
        <f>'Summery Report'!E9</f>
        <v>77</v>
      </c>
      <c r="E10" s="570">
        <f t="shared" si="13"/>
        <v>1.3262195121951219</v>
      </c>
      <c r="F10" s="571">
        <f t="shared" si="14"/>
        <v>44.61212979094077</v>
      </c>
      <c r="G10" s="571">
        <f t="shared" si="0"/>
        <v>45.385470779220782</v>
      </c>
      <c r="H10" s="570">
        <f>Gen!D15</f>
        <v>40619.840000000004</v>
      </c>
      <c r="I10" s="572">
        <f>Gen!F15</f>
        <v>0</v>
      </c>
      <c r="J10" s="141">
        <f>Gen!T15</f>
        <v>2590.17</v>
      </c>
      <c r="K10" s="141">
        <f>Gen!AK15</f>
        <v>44.9</v>
      </c>
      <c r="L10" s="141">
        <f t="shared" si="1"/>
        <v>2635.07</v>
      </c>
      <c r="M10" s="605">
        <f>'Water-Meter'!K50</f>
        <v>302.47753453725716</v>
      </c>
      <c r="N10" s="220">
        <f>'Water-Meter'!E10</f>
        <v>177</v>
      </c>
      <c r="O10" s="231"/>
      <c r="P10" s="512">
        <v>19015</v>
      </c>
      <c r="Q10" s="573">
        <f t="shared" si="2"/>
        <v>0</v>
      </c>
      <c r="R10" s="574">
        <f t="shared" si="5"/>
        <v>0</v>
      </c>
      <c r="S10" s="512">
        <v>5.8</v>
      </c>
      <c r="T10" s="645">
        <v>15839</v>
      </c>
      <c r="U10" s="573">
        <f t="shared" si="6"/>
        <v>24</v>
      </c>
      <c r="V10" s="575">
        <f t="shared" ref="V10:V16" si="16">SUM(U10*S10)</f>
        <v>139.19999999999999</v>
      </c>
      <c r="W10" s="512">
        <v>2.1</v>
      </c>
      <c r="X10" s="643">
        <v>23851</v>
      </c>
      <c r="Y10" s="573">
        <f t="shared" si="8"/>
        <v>8</v>
      </c>
      <c r="Z10" s="575">
        <f t="shared" si="9"/>
        <v>16.8</v>
      </c>
      <c r="AA10" s="575">
        <f t="shared" si="10"/>
        <v>401318.40000000002</v>
      </c>
      <c r="AB10" s="644">
        <v>27822</v>
      </c>
      <c r="AC10" s="137">
        <f t="shared" si="11"/>
        <v>159</v>
      </c>
      <c r="AD10" s="512">
        <v>197925</v>
      </c>
      <c r="AE10" s="238">
        <f t="shared" si="15"/>
        <v>136</v>
      </c>
      <c r="AF10" s="349">
        <f>'Lpg (2)'!B14*2000/85</f>
        <v>1223.5294117647059</v>
      </c>
      <c r="AG10" s="350">
        <f>'Lpg (2)'!C14*1000/85</f>
        <v>1000</v>
      </c>
      <c r="AH10" s="351">
        <f>'Lpg (2)'!D14*1000/85</f>
        <v>1000</v>
      </c>
      <c r="AI10" s="578">
        <f t="shared" si="12"/>
        <v>4588235.2941176463</v>
      </c>
      <c r="AJ10" s="577">
        <f t="shared" si="4"/>
        <v>94117.647058824077</v>
      </c>
      <c r="AK10" s="143"/>
    </row>
    <row r="11" spans="1:37" ht="19.5" thickBot="1">
      <c r="A11" s="95">
        <f>Gen!B16</f>
        <v>43896</v>
      </c>
      <c r="B11" s="568">
        <f>'Summery Report'!E10</f>
        <v>77</v>
      </c>
      <c r="C11" s="157">
        <f>Gen!C16</f>
        <v>1</v>
      </c>
      <c r="D11" s="569">
        <f>'Summery Report'!E10</f>
        <v>77</v>
      </c>
      <c r="E11" s="570">
        <f t="shared" si="13"/>
        <v>1.3262195121951219</v>
      </c>
      <c r="F11" s="571">
        <f t="shared" si="14"/>
        <v>46.403559550205891</v>
      </c>
      <c r="G11" s="571">
        <f t="shared" si="0"/>
        <v>47.695848511244847</v>
      </c>
      <c r="H11" s="570">
        <f>Gen!D16</f>
        <v>37984.770000000004</v>
      </c>
      <c r="I11" s="572">
        <f>Gen!F16</f>
        <v>0</v>
      </c>
      <c r="J11" s="141">
        <f>Gen!T16</f>
        <v>2694.18</v>
      </c>
      <c r="K11" s="141">
        <f>Gen!AK16</f>
        <v>75.03</v>
      </c>
      <c r="L11" s="141">
        <f t="shared" si="1"/>
        <v>2769.21</v>
      </c>
      <c r="M11" s="605">
        <f>'Water-Meter'!K51</f>
        <v>297.33120685703318</v>
      </c>
      <c r="N11" s="220">
        <f>'Water-Meter'!E11</f>
        <v>191</v>
      </c>
      <c r="O11" s="231"/>
      <c r="P11" s="512">
        <v>19015</v>
      </c>
      <c r="Q11" s="573">
        <f t="shared" si="2"/>
        <v>0</v>
      </c>
      <c r="R11" s="574">
        <f t="shared" si="5"/>
        <v>0</v>
      </c>
      <c r="S11" s="512">
        <v>6.5</v>
      </c>
      <c r="T11" s="645">
        <v>15855</v>
      </c>
      <c r="U11" s="573">
        <f t="shared" si="6"/>
        <v>16</v>
      </c>
      <c r="V11" s="575">
        <f t="shared" si="16"/>
        <v>104</v>
      </c>
      <c r="W11" s="512">
        <v>2.1</v>
      </c>
      <c r="X11" s="643">
        <v>23865</v>
      </c>
      <c r="Y11" s="573">
        <f t="shared" si="8"/>
        <v>14</v>
      </c>
      <c r="Z11" s="575">
        <f t="shared" si="9"/>
        <v>29.400000000000002</v>
      </c>
      <c r="AA11" s="575">
        <f t="shared" si="10"/>
        <v>703012.8</v>
      </c>
      <c r="AB11" s="644">
        <v>27947</v>
      </c>
      <c r="AC11" s="137">
        <f t="shared" si="11"/>
        <v>125</v>
      </c>
      <c r="AD11" s="512">
        <v>198065</v>
      </c>
      <c r="AE11" s="238">
        <f t="shared" si="15"/>
        <v>140</v>
      </c>
      <c r="AF11" s="349">
        <f>'Lpg (2)'!B15*2000/85</f>
        <v>1152.9411764705883</v>
      </c>
      <c r="AG11" s="350">
        <f>'Lpg (2)'!C15*1000/85</f>
        <v>1000</v>
      </c>
      <c r="AH11" s="351">
        <f>'Lpg (2)'!D15*1000/85</f>
        <v>1000</v>
      </c>
      <c r="AI11" s="578">
        <f t="shared" si="12"/>
        <v>4447058.8235294111</v>
      </c>
      <c r="AJ11" s="577">
        <f t="shared" si="4"/>
        <v>141176.47058823518</v>
      </c>
      <c r="AK11" s="143"/>
    </row>
    <row r="12" spans="1:37" ht="19.5" thickBot="1">
      <c r="A12" s="95">
        <f>Gen!B17</f>
        <v>43897</v>
      </c>
      <c r="B12" s="568">
        <f>'Summery Report'!E11</f>
        <v>77</v>
      </c>
      <c r="C12" s="157">
        <f>Gen!C17</f>
        <v>1</v>
      </c>
      <c r="D12" s="569">
        <f>'Summery Report'!E11</f>
        <v>77</v>
      </c>
      <c r="E12" s="570">
        <f t="shared" si="13"/>
        <v>1.3262195121951219</v>
      </c>
      <c r="F12" s="571">
        <f t="shared" si="14"/>
        <v>50.194824992081088</v>
      </c>
      <c r="G12" s="571">
        <f t="shared" si="0"/>
        <v>51.697758948368708</v>
      </c>
      <c r="H12" s="570">
        <f>Gen!D17</f>
        <v>50215.560000000005</v>
      </c>
      <c r="I12" s="572">
        <f>Gen!F17</f>
        <v>0</v>
      </c>
      <c r="J12" s="141">
        <f>Gen!T17</f>
        <v>2914.3</v>
      </c>
      <c r="K12" s="141">
        <f>Gen!AK17</f>
        <v>87.259999999999991</v>
      </c>
      <c r="L12" s="141">
        <f t="shared" si="1"/>
        <v>3001.5600000000004</v>
      </c>
      <c r="M12" s="605">
        <f>'Water-Meter'!K52</f>
        <v>297.96989200928761</v>
      </c>
      <c r="N12" s="220">
        <f>'Water-Meter'!E12</f>
        <v>168</v>
      </c>
      <c r="O12" s="231"/>
      <c r="P12" s="512">
        <v>19015</v>
      </c>
      <c r="Q12" s="573">
        <f t="shared" si="2"/>
        <v>0</v>
      </c>
      <c r="R12" s="574">
        <f t="shared" si="5"/>
        <v>0</v>
      </c>
      <c r="S12" s="512">
        <v>6.5</v>
      </c>
      <c r="T12" s="645">
        <v>15873</v>
      </c>
      <c r="U12" s="573">
        <f t="shared" si="6"/>
        <v>18</v>
      </c>
      <c r="V12" s="575">
        <f t="shared" si="16"/>
        <v>117</v>
      </c>
      <c r="W12" s="512">
        <v>2.1</v>
      </c>
      <c r="X12" s="643">
        <v>23888</v>
      </c>
      <c r="Y12" s="573">
        <f t="shared" si="8"/>
        <v>23</v>
      </c>
      <c r="Z12" s="575">
        <f t="shared" si="9"/>
        <v>48.300000000000004</v>
      </c>
      <c r="AA12" s="575">
        <f t="shared" si="10"/>
        <v>1156108.8</v>
      </c>
      <c r="AB12" s="644">
        <v>28102</v>
      </c>
      <c r="AC12" s="137">
        <f t="shared" si="11"/>
        <v>155</v>
      </c>
      <c r="AD12" s="512">
        <v>198186</v>
      </c>
      <c r="AE12" s="238">
        <f t="shared" si="15"/>
        <v>121</v>
      </c>
      <c r="AF12" s="349">
        <f>'Lpg (2)'!B16*2000/85</f>
        <v>1082.3529411764705</v>
      </c>
      <c r="AG12" s="350">
        <f>'Lpg (2)'!C16*1000/85</f>
        <v>1000</v>
      </c>
      <c r="AH12" s="351">
        <f>'Lpg (2)'!D16*1000/85</f>
        <v>1000</v>
      </c>
      <c r="AI12" s="578">
        <f t="shared" si="12"/>
        <v>4305882.3529411759</v>
      </c>
      <c r="AJ12" s="577">
        <f t="shared" si="4"/>
        <v>141176.47058823518</v>
      </c>
      <c r="AK12" s="143"/>
    </row>
    <row r="13" spans="1:37" ht="19.5" thickBot="1">
      <c r="A13" s="95">
        <f>Gen!B18</f>
        <v>43898</v>
      </c>
      <c r="B13" s="568">
        <f>'Summery Report'!E12</f>
        <v>46</v>
      </c>
      <c r="C13" s="157">
        <f>Gen!C18</f>
        <v>0.59740000000000004</v>
      </c>
      <c r="D13" s="569">
        <f>'Summery Report'!E12</f>
        <v>46</v>
      </c>
      <c r="E13" s="570">
        <f t="shared" si="13"/>
        <v>1.3262195121951219</v>
      </c>
      <c r="F13" s="571">
        <f t="shared" si="14"/>
        <v>77.377412513255564</v>
      </c>
      <c r="G13" s="571">
        <f t="shared" si="0"/>
        <v>89.613229056203622</v>
      </c>
      <c r="H13" s="570">
        <f>Gen!D18</f>
        <v>47214.000000000007</v>
      </c>
      <c r="I13" s="572">
        <f>Gen!F18</f>
        <v>15000</v>
      </c>
      <c r="J13" s="141">
        <f>Gen!T18</f>
        <v>2683.84</v>
      </c>
      <c r="K13" s="141">
        <f>Gen!AK18</f>
        <v>424.4</v>
      </c>
      <c r="L13" s="141">
        <f t="shared" si="1"/>
        <v>3108.2400000000002</v>
      </c>
      <c r="M13" s="605">
        <f>'Water-Meter'!K53</f>
        <v>271.22083679136711</v>
      </c>
      <c r="N13" s="220">
        <f>'Water-Meter'!E13</f>
        <v>131</v>
      </c>
      <c r="O13" s="231"/>
      <c r="P13" s="512">
        <v>19015</v>
      </c>
      <c r="Q13" s="573">
        <f t="shared" si="2"/>
        <v>0</v>
      </c>
      <c r="R13" s="574">
        <f t="shared" si="5"/>
        <v>0</v>
      </c>
      <c r="S13" s="512">
        <v>6.5</v>
      </c>
      <c r="T13" s="645">
        <v>15896</v>
      </c>
      <c r="U13" s="573">
        <f t="shared" si="6"/>
        <v>23</v>
      </c>
      <c r="V13" s="575">
        <f t="shared" si="16"/>
        <v>149.5</v>
      </c>
      <c r="W13" s="512">
        <v>2.1</v>
      </c>
      <c r="X13" s="643">
        <v>23912</v>
      </c>
      <c r="Y13" s="573">
        <f t="shared" si="8"/>
        <v>24</v>
      </c>
      <c r="Z13" s="575">
        <f t="shared" si="9"/>
        <v>50.400000000000006</v>
      </c>
      <c r="AA13" s="575">
        <f t="shared" si="10"/>
        <v>1206525.6000000001</v>
      </c>
      <c r="AB13" s="644">
        <v>28285</v>
      </c>
      <c r="AC13" s="137">
        <f t="shared" si="11"/>
        <v>183</v>
      </c>
      <c r="AD13" s="512">
        <v>198229</v>
      </c>
      <c r="AE13" s="238">
        <f t="shared" si="15"/>
        <v>43</v>
      </c>
      <c r="AF13" s="349">
        <f>'Lpg (2)'!B17*2000/85</f>
        <v>1011.7647058823529</v>
      </c>
      <c r="AG13" s="350">
        <f>'Lpg (2)'!C17*1000/85</f>
        <v>1000</v>
      </c>
      <c r="AH13" s="351">
        <f>'Lpg (2)'!D17*1000/85</f>
        <v>1000</v>
      </c>
      <c r="AI13" s="578">
        <f t="shared" si="12"/>
        <v>4164705.8823529412</v>
      </c>
      <c r="AJ13" s="577">
        <f t="shared" si="4"/>
        <v>141176.47058823472</v>
      </c>
      <c r="AK13" s="144"/>
    </row>
    <row r="14" spans="1:37" ht="19.5" thickBot="1">
      <c r="A14" s="95">
        <f>Gen!B19</f>
        <v>43899</v>
      </c>
      <c r="B14" s="568">
        <f>'Summery Report'!E13</f>
        <v>44</v>
      </c>
      <c r="C14" s="157">
        <f>Gen!C19</f>
        <v>0.57140000000000002</v>
      </c>
      <c r="D14" s="569">
        <f>'Summery Report'!E13</f>
        <v>44</v>
      </c>
      <c r="E14" s="570">
        <f t="shared" si="13"/>
        <v>1.3262195121951219</v>
      </c>
      <c r="F14" s="571">
        <f t="shared" si="14"/>
        <v>67.304133176274931</v>
      </c>
      <c r="G14" s="571">
        <f t="shared" si="0"/>
        <v>72.453481845898011</v>
      </c>
      <c r="H14" s="570">
        <f>Gen!D19</f>
        <v>44105.760000000009</v>
      </c>
      <c r="I14" s="572">
        <f>Gen!F19</f>
        <v>0</v>
      </c>
      <c r="J14" s="141">
        <f>Gen!T19</f>
        <v>2232.9499999999998</v>
      </c>
      <c r="K14" s="141">
        <f>Gen!AK19</f>
        <v>170.83999999999997</v>
      </c>
      <c r="L14" s="141">
        <f t="shared" si="1"/>
        <v>2403.79</v>
      </c>
      <c r="M14" s="605">
        <f>'Water-Meter'!K54</f>
        <v>303.21517673355197</v>
      </c>
      <c r="N14" s="220">
        <f>'Water-Meter'!E14</f>
        <v>117</v>
      </c>
      <c r="O14" s="231"/>
      <c r="P14" s="512">
        <v>19015</v>
      </c>
      <c r="Q14" s="573">
        <f t="shared" si="2"/>
        <v>0</v>
      </c>
      <c r="R14" s="574">
        <f t="shared" si="5"/>
        <v>0</v>
      </c>
      <c r="S14" s="512">
        <v>6.5</v>
      </c>
      <c r="T14" s="645">
        <v>15920</v>
      </c>
      <c r="U14" s="573">
        <f t="shared" si="6"/>
        <v>24</v>
      </c>
      <c r="V14" s="575">
        <f t="shared" si="16"/>
        <v>156</v>
      </c>
      <c r="W14" s="512">
        <v>2.1</v>
      </c>
      <c r="X14" s="643">
        <v>23936</v>
      </c>
      <c r="Y14" s="573">
        <f t="shared" si="8"/>
        <v>24</v>
      </c>
      <c r="Z14" s="575">
        <f t="shared" si="9"/>
        <v>50.400000000000006</v>
      </c>
      <c r="AA14" s="575">
        <f t="shared" si="10"/>
        <v>1207180.8</v>
      </c>
      <c r="AB14" s="644">
        <v>28468</v>
      </c>
      <c r="AC14" s="137">
        <f t="shared" si="11"/>
        <v>183</v>
      </c>
      <c r="AD14" s="512">
        <v>198350</v>
      </c>
      <c r="AE14" s="238">
        <f t="shared" si="15"/>
        <v>121</v>
      </c>
      <c r="AF14" s="349">
        <f>'Lpg (2)'!B18*2000/85</f>
        <v>941.17647058823525</v>
      </c>
      <c r="AG14" s="350">
        <f>'Lpg (2)'!C18*1000/85</f>
        <v>1000</v>
      </c>
      <c r="AH14" s="351">
        <f>'Lpg (2)'!D18*1000/85</f>
        <v>1000</v>
      </c>
      <c r="AI14" s="578">
        <f t="shared" si="12"/>
        <v>4023529.4117647056</v>
      </c>
      <c r="AJ14" s="577">
        <f t="shared" si="4"/>
        <v>141176.47058823565</v>
      </c>
      <c r="AK14" s="143"/>
    </row>
    <row r="15" spans="1:37" ht="19.5" thickBot="1">
      <c r="A15" s="95">
        <f>Gen!B20</f>
        <v>43900</v>
      </c>
      <c r="B15" s="568">
        <f>'Summery Report'!E14</f>
        <v>0</v>
      </c>
      <c r="C15" s="157">
        <f>Gen!C20</f>
        <v>0.58440000000000003</v>
      </c>
      <c r="D15" s="569">
        <f>'Summery Report'!E14</f>
        <v>0</v>
      </c>
      <c r="E15" s="570">
        <f t="shared" si="13"/>
        <v>1.3262195121951219</v>
      </c>
      <c r="F15" s="571" t="e">
        <f t="shared" si="14"/>
        <v>#DIV/0!</v>
      </c>
      <c r="G15" s="571" t="e">
        <f t="shared" si="0"/>
        <v>#DIV/0!</v>
      </c>
      <c r="H15" s="570">
        <f>Gen!D20</f>
        <v>41701.970000000008</v>
      </c>
      <c r="I15" s="572">
        <f>Gen!F20</f>
        <v>0</v>
      </c>
      <c r="J15" s="141">
        <f>Gen!T20</f>
        <v>2128.3999999999996</v>
      </c>
      <c r="K15" s="141">
        <f>Gen!AK20</f>
        <v>33.880000000000003</v>
      </c>
      <c r="L15" s="141">
        <f t="shared" si="1"/>
        <v>2162.2799999999997</v>
      </c>
      <c r="M15" s="605">
        <f>'Water-Meter'!K55</f>
        <v>360.03186924861581</v>
      </c>
      <c r="N15" s="220">
        <f>'Water-Meter'!E15</f>
        <v>129</v>
      </c>
      <c r="O15" s="231"/>
      <c r="P15" s="512">
        <v>19015</v>
      </c>
      <c r="Q15" s="573">
        <f t="shared" si="2"/>
        <v>0</v>
      </c>
      <c r="R15" s="574">
        <f t="shared" si="5"/>
        <v>0</v>
      </c>
      <c r="S15" s="512"/>
      <c r="T15" s="645">
        <v>15923</v>
      </c>
      <c r="U15" s="573">
        <f t="shared" si="6"/>
        <v>3</v>
      </c>
      <c r="V15" s="575">
        <f t="shared" si="16"/>
        <v>0</v>
      </c>
      <c r="W15" s="512">
        <v>2.1</v>
      </c>
      <c r="X15" s="643">
        <v>23939</v>
      </c>
      <c r="Y15" s="573">
        <f t="shared" si="8"/>
        <v>3</v>
      </c>
      <c r="Z15" s="575">
        <f t="shared" si="9"/>
        <v>6.3000000000000007</v>
      </c>
      <c r="AA15" s="575">
        <f t="shared" si="10"/>
        <v>151055.1</v>
      </c>
      <c r="AB15" s="644">
        <v>28489</v>
      </c>
      <c r="AC15" s="137">
        <f t="shared" si="11"/>
        <v>21</v>
      </c>
      <c r="AD15" s="512">
        <v>198476</v>
      </c>
      <c r="AE15" s="238">
        <f>AD15-AD14</f>
        <v>126</v>
      </c>
      <c r="AF15" s="349">
        <f>'Lpg (2)'!B19*2000/85</f>
        <v>941.17647058823525</v>
      </c>
      <c r="AG15" s="350">
        <f>'Lpg (2)'!C19*1000/85</f>
        <v>1000</v>
      </c>
      <c r="AH15" s="351">
        <f>'Lpg (2)'!D19*1000/85</f>
        <v>964.70588235294122</v>
      </c>
      <c r="AI15" s="578">
        <f t="shared" ref="AI15:AI35" si="17">SUM(AF15*2000)+(AG15*1000)+(AH15*1000)</f>
        <v>3847058.8235294116</v>
      </c>
      <c r="AJ15" s="577">
        <f t="shared" si="4"/>
        <v>176470.58823529398</v>
      </c>
      <c r="AK15" s="143"/>
    </row>
    <row r="16" spans="1:37" ht="19.5" thickBot="1">
      <c r="A16" s="95">
        <f>Gen!B21</f>
        <v>43901</v>
      </c>
      <c r="B16" s="568">
        <f>'Summery Report'!E15</f>
        <v>0</v>
      </c>
      <c r="C16" s="157">
        <f>Gen!C21</f>
        <v>3.9E-2</v>
      </c>
      <c r="D16" s="569">
        <f>'Summery Report'!E15</f>
        <v>0</v>
      </c>
      <c r="E16" s="570">
        <f t="shared" si="13"/>
        <v>1.3262195121951219</v>
      </c>
      <c r="F16" s="571" t="e">
        <f t="shared" si="14"/>
        <v>#DIV/0!</v>
      </c>
      <c r="G16" s="571" t="e">
        <f t="shared" si="0"/>
        <v>#DIV/0!</v>
      </c>
      <c r="H16" s="570">
        <f>Gen!D21</f>
        <v>39539.69000000001</v>
      </c>
      <c r="I16" s="572">
        <f>Gen!F21</f>
        <v>0</v>
      </c>
      <c r="J16" s="141">
        <f>Gen!T21</f>
        <v>1707.85</v>
      </c>
      <c r="K16" s="141">
        <f>Gen!AK21</f>
        <v>204.76999999999998</v>
      </c>
      <c r="L16" s="141">
        <f t="shared" si="1"/>
        <v>1912.62</v>
      </c>
      <c r="M16" s="605">
        <f>'Water-Meter'!K56</f>
        <v>414.92090840717731</v>
      </c>
      <c r="N16" s="220">
        <f>'Water-Meter'!E16</f>
        <v>99</v>
      </c>
      <c r="O16" s="231"/>
      <c r="P16" s="512">
        <v>19015</v>
      </c>
      <c r="Q16" s="573">
        <f t="shared" si="2"/>
        <v>0</v>
      </c>
      <c r="R16" s="574">
        <f t="shared" si="5"/>
        <v>0</v>
      </c>
      <c r="S16" s="512">
        <v>4.5999999999999996</v>
      </c>
      <c r="T16" s="645">
        <v>15936</v>
      </c>
      <c r="U16" s="573">
        <f t="shared" si="6"/>
        <v>13</v>
      </c>
      <c r="V16" s="575">
        <f t="shared" si="16"/>
        <v>59.8</v>
      </c>
      <c r="W16" s="512">
        <v>2.1</v>
      </c>
      <c r="X16" s="643">
        <v>23952</v>
      </c>
      <c r="Y16" s="573">
        <f t="shared" si="8"/>
        <v>13</v>
      </c>
      <c r="Z16" s="575">
        <f t="shared" si="9"/>
        <v>27.3</v>
      </c>
      <c r="AA16" s="575">
        <f t="shared" si="10"/>
        <v>655227.30000000005</v>
      </c>
      <c r="AB16" s="644">
        <v>28576</v>
      </c>
      <c r="AC16" s="137">
        <f t="shared" si="11"/>
        <v>87</v>
      </c>
      <c r="AD16" s="512">
        <v>198561</v>
      </c>
      <c r="AE16" s="238">
        <f t="shared" si="15"/>
        <v>85</v>
      </c>
      <c r="AF16" s="349">
        <f>'Lpg (2)'!B20*2000/85</f>
        <v>941.17647058823525</v>
      </c>
      <c r="AG16" s="350">
        <f>'Lpg (2)'!C20*1000/85</f>
        <v>1000</v>
      </c>
      <c r="AH16" s="351">
        <f>'Lpg (2)'!D20*1000/85</f>
        <v>941.17647058823525</v>
      </c>
      <c r="AI16" s="578">
        <f t="shared" si="17"/>
        <v>3823529.4117647056</v>
      </c>
      <c r="AJ16" s="577">
        <f t="shared" si="4"/>
        <v>23529.411764706019</v>
      </c>
      <c r="AK16" s="143"/>
    </row>
    <row r="17" spans="1:37" ht="19.5" thickBot="1">
      <c r="A17" s="95">
        <f>Gen!B22</f>
        <v>43902</v>
      </c>
      <c r="B17" s="568">
        <f>'Summery Report'!E16</f>
        <v>4</v>
      </c>
      <c r="C17" s="157">
        <f>Gen!C22</f>
        <v>3.9E-2</v>
      </c>
      <c r="D17" s="569">
        <f>'Summery Report'!E16</f>
        <v>4</v>
      </c>
      <c r="E17" s="570">
        <f t="shared" si="13"/>
        <v>1.3262195121951219</v>
      </c>
      <c r="F17" s="571">
        <f t="shared" si="14"/>
        <v>907.63147865853659</v>
      </c>
      <c r="G17" s="571">
        <f t="shared" si="0"/>
        <v>942.79950457317079</v>
      </c>
      <c r="H17" s="570">
        <f>Gen!D22</f>
        <v>37627.070000000007</v>
      </c>
      <c r="I17" s="572">
        <f>Gen!F22</f>
        <v>0</v>
      </c>
      <c r="J17" s="141">
        <f>Gen!T22</f>
        <v>2737.5</v>
      </c>
      <c r="K17" s="141">
        <f>Gen!AK22</f>
        <v>106.07</v>
      </c>
      <c r="L17" s="141">
        <f t="shared" si="1"/>
        <v>2843.57</v>
      </c>
      <c r="M17" s="605">
        <f>'Water-Meter'!K57</f>
        <v>437.58276665493759</v>
      </c>
      <c r="N17" s="220">
        <f>'Water-Meter'!E17</f>
        <v>77</v>
      </c>
      <c r="O17" s="231"/>
      <c r="P17" s="512">
        <v>19015</v>
      </c>
      <c r="Q17" s="573">
        <f>SUM(P18-P16)</f>
        <v>0</v>
      </c>
      <c r="R17" s="574">
        <f t="shared" si="5"/>
        <v>0</v>
      </c>
      <c r="S17" s="512">
        <v>4.4000000000000004</v>
      </c>
      <c r="T17" s="645">
        <v>15961</v>
      </c>
      <c r="U17" s="573">
        <f t="shared" si="6"/>
        <v>25</v>
      </c>
      <c r="V17" s="575">
        <f t="shared" ref="V17:V36" si="18">SUM(U17*S17)</f>
        <v>110.00000000000001</v>
      </c>
      <c r="W17" s="512">
        <v>2.1</v>
      </c>
      <c r="X17" s="643">
        <v>23977</v>
      </c>
      <c r="Y17" s="573">
        <f t="shared" si="8"/>
        <v>25</v>
      </c>
      <c r="Z17" s="575">
        <f t="shared" si="9"/>
        <v>52.5</v>
      </c>
      <c r="AA17" s="575">
        <f t="shared" si="10"/>
        <v>1260157.5</v>
      </c>
      <c r="AB17" s="644">
        <v>28737</v>
      </c>
      <c r="AC17" s="137">
        <f t="shared" si="11"/>
        <v>161</v>
      </c>
      <c r="AD17" s="512">
        <v>198643</v>
      </c>
      <c r="AE17" s="238">
        <f t="shared" si="15"/>
        <v>82</v>
      </c>
      <c r="AF17" s="349">
        <f>'Lpg (2)'!B21*2000/85</f>
        <v>941.17647058823525</v>
      </c>
      <c r="AG17" s="350">
        <f>'Lpg (2)'!C21*1000/85</f>
        <v>1000</v>
      </c>
      <c r="AH17" s="351">
        <f>'Lpg (2)'!D21*1000/85</f>
        <v>917.64705882352939</v>
      </c>
      <c r="AI17" s="578">
        <f t="shared" si="17"/>
        <v>3800000</v>
      </c>
      <c r="AJ17" s="577">
        <f t="shared" si="4"/>
        <v>23529.411764705554</v>
      </c>
      <c r="AK17" s="143"/>
    </row>
    <row r="18" spans="1:37" ht="19.5" thickBot="1">
      <c r="A18" s="95">
        <f>Gen!B23</f>
        <v>43903</v>
      </c>
      <c r="B18" s="568">
        <f>'Summery Report'!E17</f>
        <v>4</v>
      </c>
      <c r="C18" s="157">
        <f>Gen!C23</f>
        <v>3.9E-2</v>
      </c>
      <c r="D18" s="569">
        <f>'Summery Report'!E17</f>
        <v>4</v>
      </c>
      <c r="E18" s="570">
        <f t="shared" si="13"/>
        <v>1.3262195121951219</v>
      </c>
      <c r="F18" s="571">
        <f t="shared" si="14"/>
        <v>841.53269817073181</v>
      </c>
      <c r="G18" s="571">
        <f t="shared" si="0"/>
        <v>919.03365091463422</v>
      </c>
      <c r="H18" s="570">
        <f>Gen!D23</f>
        <v>34783.500000000007</v>
      </c>
      <c r="I18" s="572">
        <f>Gen!F23</f>
        <v>0</v>
      </c>
      <c r="J18" s="141">
        <f>Gen!T23</f>
        <v>2538.1400000000003</v>
      </c>
      <c r="K18" s="141">
        <f>Gen!AK23</f>
        <v>233.75</v>
      </c>
      <c r="L18" s="141">
        <f t="shared" si="1"/>
        <v>2771.8900000000003</v>
      </c>
      <c r="M18" s="605">
        <f>'Water-Meter'!K58</f>
        <v>443.32587928001738</v>
      </c>
      <c r="N18" s="220">
        <f>'Water-Meter'!E18</f>
        <v>69</v>
      </c>
      <c r="O18" s="231"/>
      <c r="P18" s="512">
        <v>19015</v>
      </c>
      <c r="Q18" s="573"/>
      <c r="R18" s="574">
        <f t="shared" si="5"/>
        <v>0</v>
      </c>
      <c r="S18" s="512">
        <v>4.4000000000000004</v>
      </c>
      <c r="T18" s="645">
        <v>15985</v>
      </c>
      <c r="U18" s="573">
        <f t="shared" si="6"/>
        <v>24</v>
      </c>
      <c r="V18" s="575">
        <f t="shared" si="18"/>
        <v>105.60000000000001</v>
      </c>
      <c r="W18" s="512">
        <v>2.1</v>
      </c>
      <c r="X18" s="643">
        <v>24001</v>
      </c>
      <c r="Y18" s="573">
        <f t="shared" si="8"/>
        <v>24</v>
      </c>
      <c r="Z18" s="575">
        <f t="shared" si="9"/>
        <v>50.400000000000006</v>
      </c>
      <c r="AA18" s="575">
        <f t="shared" si="10"/>
        <v>1210456.8</v>
      </c>
      <c r="AB18" s="644">
        <v>28885</v>
      </c>
      <c r="AC18" s="137">
        <f t="shared" si="11"/>
        <v>148</v>
      </c>
      <c r="AD18" s="512">
        <v>198690</v>
      </c>
      <c r="AE18" s="238">
        <f t="shared" si="15"/>
        <v>47</v>
      </c>
      <c r="AF18" s="349">
        <f>'Lpg (2)'!B22*2000/85</f>
        <v>941.17647058823525</v>
      </c>
      <c r="AG18" s="350">
        <f>'Lpg (2)'!C22*1000/85</f>
        <v>1000</v>
      </c>
      <c r="AH18" s="351">
        <f>'Lpg (2)'!D22*1000/85</f>
        <v>882.35294117647061</v>
      </c>
      <c r="AI18" s="578">
        <f t="shared" si="17"/>
        <v>3764705.8823529407</v>
      </c>
      <c r="AJ18" s="577">
        <f t="shared" si="4"/>
        <v>35294.117647059262</v>
      </c>
      <c r="AK18" s="143"/>
    </row>
    <row r="19" spans="1:37" ht="19.5" thickBot="1">
      <c r="A19" s="95">
        <f>Gen!B24</f>
        <v>43904</v>
      </c>
      <c r="B19" s="568">
        <f>'Summery Report'!E18</f>
        <v>4</v>
      </c>
      <c r="C19" s="157">
        <f>Gen!C24</f>
        <v>2.86E-2</v>
      </c>
      <c r="D19" s="569">
        <f>'Summery Report'!E18</f>
        <v>4</v>
      </c>
      <c r="E19" s="570">
        <f t="shared" si="13"/>
        <v>1.3262195121951219</v>
      </c>
      <c r="F19" s="571">
        <f t="shared" si="14"/>
        <v>433.23612804878042</v>
      </c>
      <c r="G19" s="571">
        <f t="shared" si="0"/>
        <v>471.82911585365849</v>
      </c>
      <c r="H19" s="570">
        <f>Gen!D24</f>
        <v>32011.610000000008</v>
      </c>
      <c r="I19" s="572">
        <f>Gen!F24</f>
        <v>0</v>
      </c>
      <c r="J19" s="141">
        <f>Gen!T24</f>
        <v>1306.6799999999998</v>
      </c>
      <c r="K19" s="141">
        <f>Gen!AK24</f>
        <v>116.4</v>
      </c>
      <c r="L19" s="141">
        <f t="shared" si="1"/>
        <v>1423.08</v>
      </c>
      <c r="M19" s="605">
        <f>'Water-Meter'!K59</f>
        <v>497.30897203425775</v>
      </c>
      <c r="N19" s="220">
        <f>'Water-Meter'!E19</f>
        <v>72</v>
      </c>
      <c r="O19" s="231">
        <v>2.2999999999999998</v>
      </c>
      <c r="P19" s="512">
        <v>19017</v>
      </c>
      <c r="Q19" s="573"/>
      <c r="R19" s="574">
        <f t="shared" si="5"/>
        <v>0</v>
      </c>
      <c r="S19" s="512">
        <v>7.1</v>
      </c>
      <c r="T19" s="645">
        <v>15997</v>
      </c>
      <c r="U19" s="573">
        <f t="shared" si="6"/>
        <v>12</v>
      </c>
      <c r="V19" s="575">
        <f t="shared" si="18"/>
        <v>85.199999999999989</v>
      </c>
      <c r="W19" s="512">
        <v>2.1</v>
      </c>
      <c r="X19" s="643">
        <v>24003</v>
      </c>
      <c r="Y19" s="573">
        <f t="shared" si="8"/>
        <v>2</v>
      </c>
      <c r="Z19" s="575">
        <f t="shared" si="9"/>
        <v>4.2</v>
      </c>
      <c r="AA19" s="575">
        <f t="shared" si="10"/>
        <v>100972.2</v>
      </c>
      <c r="AB19" s="644">
        <v>28984</v>
      </c>
      <c r="AC19" s="137">
        <f t="shared" si="11"/>
        <v>99</v>
      </c>
      <c r="AD19" s="512">
        <v>198752</v>
      </c>
      <c r="AE19" s="238">
        <f t="shared" si="15"/>
        <v>62</v>
      </c>
      <c r="AF19" s="349">
        <f>'Lpg (2)'!B23*2000/85</f>
        <v>870.58823529411768</v>
      </c>
      <c r="AG19" s="350">
        <f>'Lpg (2)'!C23*1000/85</f>
        <v>1000</v>
      </c>
      <c r="AH19" s="351">
        <f>'Lpg (2)'!D23*1000/85</f>
        <v>882.35294117647061</v>
      </c>
      <c r="AI19" s="578">
        <f t="shared" si="17"/>
        <v>3623529.4117647056</v>
      </c>
      <c r="AJ19" s="577">
        <f t="shared" si="4"/>
        <v>141176.47058823518</v>
      </c>
      <c r="AK19" s="143"/>
    </row>
    <row r="20" spans="1:37" ht="19.5" thickBot="1">
      <c r="A20" s="95">
        <f>Gen!B25</f>
        <v>43905</v>
      </c>
      <c r="B20" s="568">
        <f>'Summery Report'!E19</f>
        <v>4</v>
      </c>
      <c r="C20" s="157">
        <f>Gen!C25</f>
        <v>6.4899999999999999E-2</v>
      </c>
      <c r="D20" s="569">
        <f>'Summery Report'!E19</f>
        <v>4</v>
      </c>
      <c r="E20" s="570">
        <f t="shared" si="13"/>
        <v>1.3262195121951219</v>
      </c>
      <c r="F20" s="571">
        <f t="shared" si="14"/>
        <v>471.29199695121952</v>
      </c>
      <c r="G20" s="571">
        <f t="shared" si="0"/>
        <v>566.7665396341464</v>
      </c>
      <c r="H20" s="570">
        <f>Gen!D25</f>
        <v>30588.530000000006</v>
      </c>
      <c r="I20" s="572">
        <f>Gen!F25</f>
        <v>0</v>
      </c>
      <c r="J20" s="141">
        <f>Gen!T25</f>
        <v>1421.46</v>
      </c>
      <c r="K20" s="141">
        <f>Gen!AK25</f>
        <v>287.96000000000004</v>
      </c>
      <c r="L20" s="141">
        <f t="shared" si="1"/>
        <v>1709.42</v>
      </c>
      <c r="M20" s="605">
        <f>'Water-Meter'!K60</f>
        <v>520.08695502730939</v>
      </c>
      <c r="N20" s="220">
        <f>'Water-Meter'!E20</f>
        <v>92</v>
      </c>
      <c r="O20" s="231"/>
      <c r="P20" s="512">
        <v>19017</v>
      </c>
      <c r="Q20" s="573">
        <f t="shared" si="2"/>
        <v>0</v>
      </c>
      <c r="R20" s="574">
        <f t="shared" si="5"/>
        <v>0</v>
      </c>
      <c r="S20" s="512"/>
      <c r="T20" s="645">
        <v>15999</v>
      </c>
      <c r="U20" s="573">
        <f t="shared" si="6"/>
        <v>2</v>
      </c>
      <c r="V20" s="575">
        <f t="shared" si="18"/>
        <v>0</v>
      </c>
      <c r="W20" s="512"/>
      <c r="X20" s="643">
        <v>24017</v>
      </c>
      <c r="Y20" s="573">
        <f t="shared" si="8"/>
        <v>14</v>
      </c>
      <c r="Z20" s="575">
        <f t="shared" si="9"/>
        <v>0</v>
      </c>
      <c r="AA20" s="575">
        <f t="shared" si="10"/>
        <v>0</v>
      </c>
      <c r="AB20" s="644">
        <v>29031</v>
      </c>
      <c r="AC20" s="137">
        <f t="shared" si="11"/>
        <v>47</v>
      </c>
      <c r="AD20" s="512">
        <v>198814</v>
      </c>
      <c r="AE20" s="238">
        <f t="shared" si="15"/>
        <v>62</v>
      </c>
      <c r="AF20" s="349">
        <f>'Lpg (2)'!B24*2000/85</f>
        <v>823.52941176470586</v>
      </c>
      <c r="AG20" s="350">
        <f>'Lpg (2)'!C24*1000/85</f>
        <v>1000</v>
      </c>
      <c r="AH20" s="351">
        <f>'Lpg (2)'!D24*1000/85</f>
        <v>1000</v>
      </c>
      <c r="AI20" s="578">
        <f t="shared" si="17"/>
        <v>3647058.823529412</v>
      </c>
      <c r="AJ20" s="577">
        <f t="shared" si="4"/>
        <v>-23529.411764706485</v>
      </c>
      <c r="AK20" s="143"/>
    </row>
    <row r="21" spans="1:37" ht="19.5" thickBot="1">
      <c r="A21" s="95">
        <f>Gen!B26</f>
        <v>43906</v>
      </c>
      <c r="B21" s="568">
        <f>'Summery Report'!E20</f>
        <v>5</v>
      </c>
      <c r="C21" s="157">
        <f>Gen!C26</f>
        <v>5.1900000000000002E-2</v>
      </c>
      <c r="D21" s="569">
        <f>'Summery Report'!E20</f>
        <v>5</v>
      </c>
      <c r="E21" s="570">
        <f t="shared" si="13"/>
        <v>1.3262195121951219</v>
      </c>
      <c r="F21" s="571">
        <f t="shared" si="14"/>
        <v>362.54067073170734</v>
      </c>
      <c r="G21" s="571">
        <f t="shared" si="0"/>
        <v>383.57185975609758</v>
      </c>
      <c r="H21" s="570">
        <f>Gen!D26</f>
        <v>28879.110000000008</v>
      </c>
      <c r="I21" s="572">
        <f>Gen!F26</f>
        <v>0</v>
      </c>
      <c r="J21" s="141">
        <f>Gen!T26</f>
        <v>1366.8200000000002</v>
      </c>
      <c r="K21" s="141">
        <f>Gen!AK26</f>
        <v>79.289999999999992</v>
      </c>
      <c r="L21" s="141">
        <f t="shared" si="1"/>
        <v>1446.1100000000001</v>
      </c>
      <c r="M21" s="605">
        <f>'Water-Meter'!K61</f>
        <v>545.2010778133108</v>
      </c>
      <c r="N21" s="220">
        <f>'Water-Meter'!E21</f>
        <v>90</v>
      </c>
      <c r="O21" s="231"/>
      <c r="P21" s="512">
        <v>19017</v>
      </c>
      <c r="Q21" s="573">
        <f t="shared" si="2"/>
        <v>0</v>
      </c>
      <c r="R21" s="574">
        <f t="shared" si="5"/>
        <v>0</v>
      </c>
      <c r="S21" s="512"/>
      <c r="T21" s="645">
        <v>15999</v>
      </c>
      <c r="U21" s="573">
        <f>T22-T20</f>
        <v>0</v>
      </c>
      <c r="V21" s="575">
        <f t="shared" si="18"/>
        <v>0</v>
      </c>
      <c r="W21" s="512"/>
      <c r="X21" s="643">
        <v>24041</v>
      </c>
      <c r="Y21" s="573">
        <f t="shared" si="8"/>
        <v>24</v>
      </c>
      <c r="Z21" s="575">
        <f t="shared" si="9"/>
        <v>0</v>
      </c>
      <c r="AA21" s="575">
        <f t="shared" si="10"/>
        <v>0</v>
      </c>
      <c r="AB21" s="644">
        <v>29089</v>
      </c>
      <c r="AC21" s="137">
        <f t="shared" si="11"/>
        <v>58</v>
      </c>
      <c r="AD21" s="512">
        <v>198880</v>
      </c>
      <c r="AE21" s="238">
        <f t="shared" si="15"/>
        <v>66</v>
      </c>
      <c r="AF21" s="349">
        <f>'Lpg (2)'!B25*2000/85</f>
        <v>752.94117647058829</v>
      </c>
      <c r="AG21" s="350">
        <f>'Lpg (2)'!C25*1000/85</f>
        <v>1000</v>
      </c>
      <c r="AH21" s="351">
        <f>'Lpg (2)'!D25*1000/85</f>
        <v>1000</v>
      </c>
      <c r="AI21" s="578">
        <f t="shared" si="17"/>
        <v>3505882.3529411769</v>
      </c>
      <c r="AJ21" s="577">
        <f t="shared" si="4"/>
        <v>141176.47058823518</v>
      </c>
      <c r="AK21" s="143"/>
    </row>
    <row r="22" spans="1:37" ht="19.5" thickBot="1">
      <c r="A22" s="95">
        <f>Gen!B27</f>
        <v>43907</v>
      </c>
      <c r="B22" s="568">
        <f>'Summery Report'!E21</f>
        <v>6</v>
      </c>
      <c r="C22" s="157">
        <f>Gen!C27</f>
        <v>2.5999999999999999E-2</v>
      </c>
      <c r="D22" s="569">
        <f>'Summery Report'!E21</f>
        <v>6</v>
      </c>
      <c r="E22" s="570">
        <f t="shared" si="13"/>
        <v>1.3262195121951219</v>
      </c>
      <c r="F22" s="571">
        <f t="shared" si="14"/>
        <v>268.65228658536586</v>
      </c>
      <c r="G22" s="571">
        <f t="shared" si="0"/>
        <v>279.79695121951221</v>
      </c>
      <c r="H22" s="570">
        <f>Gen!D27</f>
        <v>45433.000000000007</v>
      </c>
      <c r="I22" s="572">
        <f>Gen!F27</f>
        <v>18000</v>
      </c>
      <c r="J22" s="141">
        <f>Gen!T27</f>
        <v>1215.42</v>
      </c>
      <c r="K22" s="141">
        <f>Gen!AK27</f>
        <v>50.42</v>
      </c>
      <c r="L22" s="141">
        <f t="shared" si="1"/>
        <v>1265.8400000000001</v>
      </c>
      <c r="M22" s="605">
        <f>'Water-Meter'!K62</f>
        <v>519.74689952644621</v>
      </c>
      <c r="N22" s="220">
        <f>'Water-Meter'!E22</f>
        <v>72</v>
      </c>
      <c r="O22" s="231"/>
      <c r="P22" s="512">
        <v>19017</v>
      </c>
      <c r="Q22" s="573">
        <f t="shared" si="2"/>
        <v>0</v>
      </c>
      <c r="R22" s="574">
        <f t="shared" si="5"/>
        <v>0</v>
      </c>
      <c r="S22" s="512"/>
      <c r="T22" s="645">
        <v>15999</v>
      </c>
      <c r="U22" s="573" t="e">
        <f>#REF!-T22</f>
        <v>#REF!</v>
      </c>
      <c r="V22" s="575" t="e">
        <f t="shared" si="18"/>
        <v>#REF!</v>
      </c>
      <c r="W22" s="512">
        <v>2.5</v>
      </c>
      <c r="X22" s="643">
        <v>24065</v>
      </c>
      <c r="Y22" s="573">
        <f t="shared" si="8"/>
        <v>24</v>
      </c>
      <c r="Z22" s="575">
        <f t="shared" si="9"/>
        <v>60</v>
      </c>
      <c r="AA22" s="575">
        <f t="shared" si="10"/>
        <v>1446720</v>
      </c>
      <c r="AB22" s="644">
        <v>29139</v>
      </c>
      <c r="AC22" s="137">
        <f t="shared" si="11"/>
        <v>50</v>
      </c>
      <c r="AD22" s="512">
        <v>198928</v>
      </c>
      <c r="AE22" s="238">
        <f t="shared" si="15"/>
        <v>48</v>
      </c>
      <c r="AF22" s="349">
        <f>'Lpg (2)'!B26*2000/85</f>
        <v>729.41176470588232</v>
      </c>
      <c r="AG22" s="350">
        <f>'Lpg (2)'!C26*1000/85</f>
        <v>1000</v>
      </c>
      <c r="AH22" s="351">
        <f>'Lpg (2)'!D26*1000/85</f>
        <v>776.47058823529414</v>
      </c>
      <c r="AI22" s="578">
        <f t="shared" si="17"/>
        <v>3235294.1176470588</v>
      </c>
      <c r="AJ22" s="577">
        <f t="shared" si="4"/>
        <v>270588.23529411806</v>
      </c>
      <c r="AK22" s="143"/>
    </row>
    <row r="23" spans="1:37" ht="19.5" thickBot="1">
      <c r="A23" s="95">
        <f>Gen!B28</f>
        <v>43908</v>
      </c>
      <c r="B23" s="568">
        <f>'Summery Report'!E22</f>
        <v>5</v>
      </c>
      <c r="C23" s="157">
        <f>Gen!C28</f>
        <v>5.1900000000000002E-2</v>
      </c>
      <c r="D23" s="569">
        <f>'Summery Report'!E22</f>
        <v>5</v>
      </c>
      <c r="E23" s="570">
        <f t="shared" si="13"/>
        <v>1.3262195121951219</v>
      </c>
      <c r="F23" s="571">
        <f t="shared" si="14"/>
        <v>316.38823170731712</v>
      </c>
      <c r="G23" s="571">
        <f t="shared" si="0"/>
        <v>357.76628048780492</v>
      </c>
      <c r="H23" s="570">
        <f>Gen!D28</f>
        <v>44167.16</v>
      </c>
      <c r="I23" s="572">
        <f>Gen!F28</f>
        <v>0</v>
      </c>
      <c r="J23" s="141">
        <f>Gen!T28</f>
        <v>1192.8200000000002</v>
      </c>
      <c r="K23" s="141">
        <f>Gen!AK28</f>
        <v>156</v>
      </c>
      <c r="L23" s="141">
        <f t="shared" si="1"/>
        <v>1348.8200000000002</v>
      </c>
      <c r="M23" s="605">
        <f>'Water-Meter'!K63</f>
        <v>501.3235898494919</v>
      </c>
      <c r="N23" s="220">
        <f>'Water-Meter'!E23</f>
        <v>57</v>
      </c>
      <c r="O23" s="231"/>
      <c r="P23" s="512">
        <v>19017</v>
      </c>
      <c r="Q23" s="573">
        <f t="shared" si="2"/>
        <v>0</v>
      </c>
      <c r="R23" s="574">
        <f t="shared" si="5"/>
        <v>0</v>
      </c>
      <c r="S23" s="512"/>
      <c r="T23" s="645">
        <v>15999</v>
      </c>
      <c r="U23" s="573" t="e">
        <f>T23-#REF!</f>
        <v>#REF!</v>
      </c>
      <c r="V23" s="575" t="e">
        <f t="shared" si="18"/>
        <v>#REF!</v>
      </c>
      <c r="W23" s="512">
        <v>2.4</v>
      </c>
      <c r="X23" s="643">
        <v>24089</v>
      </c>
      <c r="Y23" s="573">
        <f t="shared" si="8"/>
        <v>24</v>
      </c>
      <c r="Z23" s="575">
        <f t="shared" si="9"/>
        <v>57.599999999999994</v>
      </c>
      <c r="AA23" s="575">
        <f t="shared" si="10"/>
        <v>1389023.9999999998</v>
      </c>
      <c r="AB23" s="644">
        <v>29191</v>
      </c>
      <c r="AC23" s="137">
        <f t="shared" si="11"/>
        <v>52</v>
      </c>
      <c r="AD23" s="512">
        <v>198976</v>
      </c>
      <c r="AE23" s="238">
        <f t="shared" si="15"/>
        <v>48</v>
      </c>
      <c r="AF23" s="349">
        <f>'Lpg (2)'!B27*2000/85</f>
        <v>705.88235294117646</v>
      </c>
      <c r="AG23" s="350">
        <f>'Lpg (2)'!C27*1000/85</f>
        <v>1000</v>
      </c>
      <c r="AH23" s="351">
        <f>'Lpg (2)'!D27*1000/85</f>
        <v>776.47058823529414</v>
      </c>
      <c r="AI23" s="578">
        <f t="shared" si="17"/>
        <v>3188235.2941176468</v>
      </c>
      <c r="AJ23" s="577">
        <f t="shared" si="4"/>
        <v>47058.823529412039</v>
      </c>
      <c r="AK23" s="143"/>
    </row>
    <row r="24" spans="1:37" ht="19.5" thickBot="1">
      <c r="A24" s="95">
        <f>Gen!B29</f>
        <v>43909</v>
      </c>
      <c r="B24" s="568">
        <f>'Summery Report'!E23</f>
        <v>1</v>
      </c>
      <c r="C24" s="157">
        <f>Gen!C29</f>
        <v>0.02</v>
      </c>
      <c r="D24" s="569">
        <f>'Summery Report'!E23</f>
        <v>1</v>
      </c>
      <c r="E24" s="570">
        <f t="shared" si="13"/>
        <v>1.3262195121951219</v>
      </c>
      <c r="F24" s="571">
        <f t="shared" si="14"/>
        <v>1461.1888719512194</v>
      </c>
      <c r="G24" s="571">
        <f t="shared" si="0"/>
        <v>1589.8454268292683</v>
      </c>
      <c r="H24" s="570">
        <f>Gen!D29</f>
        <v>42818.340000000004</v>
      </c>
      <c r="I24" s="572">
        <f>Gen!F29</f>
        <v>0</v>
      </c>
      <c r="J24" s="141">
        <f>Gen!T29</f>
        <v>1101.77</v>
      </c>
      <c r="K24" s="141">
        <f>Gen!AK29</f>
        <v>97.01</v>
      </c>
      <c r="L24" s="141">
        <f t="shared" si="1"/>
        <v>1198.78</v>
      </c>
      <c r="M24" s="605">
        <f>'Water-Meter'!K64</f>
        <v>475.13554816112276</v>
      </c>
      <c r="N24" s="220">
        <f>'Water-Meter'!E24</f>
        <v>72</v>
      </c>
      <c r="O24" s="231">
        <v>2.4</v>
      </c>
      <c r="P24" s="512">
        <v>19020</v>
      </c>
      <c r="Q24" s="573">
        <f t="shared" si="2"/>
        <v>3</v>
      </c>
      <c r="R24" s="574">
        <f t="shared" si="5"/>
        <v>7.1999999999999993</v>
      </c>
      <c r="S24" s="512"/>
      <c r="T24" s="645">
        <v>15999</v>
      </c>
      <c r="U24" s="573">
        <f t="shared" si="6"/>
        <v>0</v>
      </c>
      <c r="V24" s="575">
        <f t="shared" si="18"/>
        <v>0</v>
      </c>
      <c r="W24" s="512">
        <v>2.2999999999999998</v>
      </c>
      <c r="X24" s="643">
        <v>24112</v>
      </c>
      <c r="Y24" s="573">
        <f t="shared" si="8"/>
        <v>23</v>
      </c>
      <c r="Z24" s="575">
        <f t="shared" si="9"/>
        <v>52.9</v>
      </c>
      <c r="AA24" s="575">
        <f t="shared" si="10"/>
        <v>1275683.5</v>
      </c>
      <c r="AB24" s="644">
        <v>29244</v>
      </c>
      <c r="AC24" s="137">
        <f t="shared" si="11"/>
        <v>53</v>
      </c>
      <c r="AD24" s="512">
        <v>199026</v>
      </c>
      <c r="AE24" s="238">
        <f t="shared" si="15"/>
        <v>50</v>
      </c>
      <c r="AF24" s="349">
        <f>'Lpg (2)'!B28*2000/85</f>
        <v>682.35294117647061</v>
      </c>
      <c r="AG24" s="350">
        <f>'Lpg (2)'!C28*1000/85</f>
        <v>1000</v>
      </c>
      <c r="AH24" s="351">
        <f>'Lpg (2)'!D28*1000/85</f>
        <v>776.47058823529414</v>
      </c>
      <c r="AI24" s="578">
        <f t="shared" si="17"/>
        <v>3141176.4705882352</v>
      </c>
      <c r="AJ24" s="577">
        <f t="shared" si="4"/>
        <v>47058.823529411573</v>
      </c>
      <c r="AK24" s="143"/>
    </row>
    <row r="25" spans="1:37" ht="19.5" thickBot="1">
      <c r="A25" s="95">
        <f>Gen!B30</f>
        <v>43910</v>
      </c>
      <c r="B25" s="568">
        <f>'Summery Report'!E24</f>
        <v>0</v>
      </c>
      <c r="C25" s="157">
        <f>Gen!C30</f>
        <v>0.02</v>
      </c>
      <c r="D25" s="569">
        <f>'Summery Report'!E24</f>
        <v>0</v>
      </c>
      <c r="E25" s="570">
        <f t="shared" si="13"/>
        <v>1.3262195121951219</v>
      </c>
      <c r="F25" s="571" t="e">
        <f t="shared" si="14"/>
        <v>#DIV/0!</v>
      </c>
      <c r="G25" s="571" t="e">
        <f t="shared" si="0"/>
        <v>#DIV/0!</v>
      </c>
      <c r="H25" s="570">
        <f>Gen!D30</f>
        <v>41619.560000000005</v>
      </c>
      <c r="I25" s="572">
        <f>Gen!F30</f>
        <v>0</v>
      </c>
      <c r="J25" s="141">
        <f>Gen!T30</f>
        <v>1196.43</v>
      </c>
      <c r="K25" s="141">
        <f>Gen!AK30</f>
        <v>0</v>
      </c>
      <c r="L25" s="141">
        <f t="shared" si="1"/>
        <v>1196.43</v>
      </c>
      <c r="M25" s="605">
        <f>'Water-Meter'!K65</f>
        <v>454.64299375024666</v>
      </c>
      <c r="N25" s="220">
        <f>'Water-Meter'!E25</f>
        <v>65</v>
      </c>
      <c r="O25" s="231"/>
      <c r="P25" s="512">
        <v>19020</v>
      </c>
      <c r="Q25" s="573">
        <f t="shared" si="2"/>
        <v>0</v>
      </c>
      <c r="R25" s="574">
        <f t="shared" si="5"/>
        <v>0</v>
      </c>
      <c r="S25" s="512">
        <v>7.8</v>
      </c>
      <c r="T25" s="645">
        <v>16020</v>
      </c>
      <c r="U25" s="573">
        <f t="shared" si="6"/>
        <v>21</v>
      </c>
      <c r="V25" s="575">
        <f t="shared" si="18"/>
        <v>163.79999999999998</v>
      </c>
      <c r="W25" s="512">
        <v>2.2000000000000002</v>
      </c>
      <c r="X25" s="643">
        <v>24115</v>
      </c>
      <c r="Y25" s="573">
        <f t="shared" si="8"/>
        <v>3</v>
      </c>
      <c r="Z25" s="575">
        <f t="shared" si="9"/>
        <v>6.6000000000000005</v>
      </c>
      <c r="AA25" s="575">
        <f t="shared" si="10"/>
        <v>159159</v>
      </c>
      <c r="AB25" s="644">
        <v>29421</v>
      </c>
      <c r="AC25" s="137">
        <f t="shared" si="11"/>
        <v>177</v>
      </c>
      <c r="AD25" s="512">
        <v>199079</v>
      </c>
      <c r="AE25" s="238">
        <f t="shared" si="15"/>
        <v>53</v>
      </c>
      <c r="AF25" s="349">
        <f>'Lpg (2)'!B29*2000/85</f>
        <v>658.82352941176475</v>
      </c>
      <c r="AG25" s="350">
        <f>'Lpg (2)'!C29*1000/85</f>
        <v>1000</v>
      </c>
      <c r="AH25" s="351">
        <f>'Lpg (2)'!D29*1000/85</f>
        <v>776.47058823529414</v>
      </c>
      <c r="AI25" s="578">
        <f t="shared" si="17"/>
        <v>3094117.6470588236</v>
      </c>
      <c r="AJ25" s="577">
        <f t="shared" si="4"/>
        <v>47058.823529411573</v>
      </c>
      <c r="AK25" s="143"/>
    </row>
    <row r="26" spans="1:37" ht="19.5" thickBot="1">
      <c r="A26" s="95">
        <f>Gen!B31</f>
        <v>43911</v>
      </c>
      <c r="B26" s="568">
        <f>'Summery Report'!E25</f>
        <v>0</v>
      </c>
      <c r="C26" s="157">
        <f>Gen!C31</f>
        <v>0</v>
      </c>
      <c r="D26" s="569">
        <f>'Summery Report'!E25</f>
        <v>0</v>
      </c>
      <c r="E26" s="570">
        <f t="shared" si="13"/>
        <v>1.3262195121951219</v>
      </c>
      <c r="F26" s="571" t="e">
        <f>SUM(J26*E26)/D26</f>
        <v>#DIV/0!</v>
      </c>
      <c r="G26" s="571" t="e">
        <f t="shared" si="0"/>
        <v>#DIV/0!</v>
      </c>
      <c r="H26" s="570">
        <f>Gen!D31</f>
        <v>40423.130000000005</v>
      </c>
      <c r="I26" s="572">
        <f>Gen!F31</f>
        <v>0</v>
      </c>
      <c r="J26" s="141">
        <f>Gen!T31</f>
        <v>1103.08</v>
      </c>
      <c r="K26" s="141">
        <f>Gen!AK31</f>
        <v>147.13999999999999</v>
      </c>
      <c r="L26" s="141">
        <f t="shared" si="1"/>
        <v>1250.2199999999998</v>
      </c>
      <c r="M26" s="605">
        <f>'Water-Meter'!K66</f>
        <v>468.35051273399517</v>
      </c>
      <c r="N26" s="220">
        <f>'Water-Meter'!E26</f>
        <v>67</v>
      </c>
      <c r="O26" s="231"/>
      <c r="P26" s="512">
        <v>19020</v>
      </c>
      <c r="Q26" s="573">
        <f t="shared" si="2"/>
        <v>0</v>
      </c>
      <c r="R26" s="574">
        <f t="shared" si="5"/>
        <v>0</v>
      </c>
      <c r="S26" s="512">
        <v>8.1</v>
      </c>
      <c r="T26" s="645">
        <v>16034</v>
      </c>
      <c r="U26" s="573">
        <f t="shared" si="6"/>
        <v>14</v>
      </c>
      <c r="V26" s="575">
        <f t="shared" si="18"/>
        <v>113.39999999999999</v>
      </c>
      <c r="W26" s="512"/>
      <c r="X26" s="643">
        <v>24115</v>
      </c>
      <c r="Y26" s="573">
        <f t="shared" si="8"/>
        <v>0</v>
      </c>
      <c r="Z26" s="575">
        <f t="shared" si="9"/>
        <v>0</v>
      </c>
      <c r="AA26" s="575">
        <f t="shared" si="10"/>
        <v>0</v>
      </c>
      <c r="AB26" s="644">
        <v>29532</v>
      </c>
      <c r="AC26" s="137">
        <f t="shared" si="11"/>
        <v>111</v>
      </c>
      <c r="AD26" s="512">
        <v>199130</v>
      </c>
      <c r="AE26" s="238">
        <f t="shared" si="15"/>
        <v>51</v>
      </c>
      <c r="AF26" s="349">
        <f>'Lpg (2)'!B30*2000/85</f>
        <v>635.29411764705878</v>
      </c>
      <c r="AG26" s="350">
        <f>'Lpg (2)'!C30*1000/85</f>
        <v>1000</v>
      </c>
      <c r="AH26" s="351">
        <f>'Lpg (2)'!D30*1000/85</f>
        <v>776.47058823529414</v>
      </c>
      <c r="AI26" s="578">
        <f t="shared" si="17"/>
        <v>3047058.8235294116</v>
      </c>
      <c r="AJ26" s="577">
        <f t="shared" si="4"/>
        <v>47058.823529412039</v>
      </c>
      <c r="AK26" s="143"/>
    </row>
    <row r="27" spans="1:37" ht="19.5" thickBot="1">
      <c r="A27" s="95">
        <f>Gen!B32</f>
        <v>43912</v>
      </c>
      <c r="B27" s="568">
        <f>'Summery Report'!E26</f>
        <v>3</v>
      </c>
      <c r="C27" s="157">
        <f>Gen!C32</f>
        <v>0</v>
      </c>
      <c r="D27" s="569">
        <f>'Summery Report'!E26</f>
        <v>3</v>
      </c>
      <c r="E27" s="570">
        <f t="shared" si="13"/>
        <v>1.3262195121951219</v>
      </c>
      <c r="F27" s="571">
        <f t="shared" si="14"/>
        <v>410.13338414634148</v>
      </c>
      <c r="G27" s="571">
        <f t="shared" si="0"/>
        <v>410.13338414634148</v>
      </c>
      <c r="H27" s="570">
        <f>Gen!D32</f>
        <v>39172.910000000003</v>
      </c>
      <c r="I27" s="572">
        <f>Gen!F32</f>
        <v>12000</v>
      </c>
      <c r="J27" s="141">
        <f>Gen!T32</f>
        <v>927.75</v>
      </c>
      <c r="K27" s="141">
        <f>Gen!AK32</f>
        <v>0</v>
      </c>
      <c r="L27" s="141">
        <f t="shared" si="1"/>
        <v>927.75</v>
      </c>
      <c r="M27" s="605">
        <f>'Water-Meter'!K67</f>
        <v>480.50333226419173</v>
      </c>
      <c r="N27" s="220">
        <f>'Water-Meter'!E27</f>
        <v>73</v>
      </c>
      <c r="O27" s="231"/>
      <c r="P27" s="512">
        <v>19020</v>
      </c>
      <c r="Q27" s="573">
        <f t="shared" si="2"/>
        <v>0</v>
      </c>
      <c r="R27" s="574">
        <f t="shared" si="5"/>
        <v>0</v>
      </c>
      <c r="S27" s="512">
        <v>7.1</v>
      </c>
      <c r="T27" s="645">
        <v>16047</v>
      </c>
      <c r="U27" s="573">
        <f t="shared" si="6"/>
        <v>13</v>
      </c>
      <c r="V27" s="575">
        <f t="shared" si="18"/>
        <v>92.3</v>
      </c>
      <c r="W27" s="512"/>
      <c r="X27" s="643">
        <v>24115</v>
      </c>
      <c r="Y27" s="573">
        <f t="shared" si="8"/>
        <v>0</v>
      </c>
      <c r="Z27" s="575">
        <f t="shared" si="9"/>
        <v>0</v>
      </c>
      <c r="AA27" s="575">
        <f t="shared" si="10"/>
        <v>0</v>
      </c>
      <c r="AB27" s="644">
        <v>29637</v>
      </c>
      <c r="AC27" s="137">
        <f t="shared" si="11"/>
        <v>105</v>
      </c>
      <c r="AD27" s="512">
        <v>199173</v>
      </c>
      <c r="AE27" s="238">
        <f t="shared" si="15"/>
        <v>43</v>
      </c>
      <c r="AF27" s="349">
        <f>'Lpg (2)'!B31*2000/85</f>
        <v>611.76470588235293</v>
      </c>
      <c r="AG27" s="350">
        <f>'Lpg (2)'!C31*1000/85</f>
        <v>1000</v>
      </c>
      <c r="AH27" s="351">
        <f>'Lpg (2)'!D31*1000/85</f>
        <v>776.47058823529414</v>
      </c>
      <c r="AI27" s="578">
        <f t="shared" si="17"/>
        <v>2999999.9999999995</v>
      </c>
      <c r="AJ27" s="577">
        <f t="shared" si="4"/>
        <v>47058.823529412039</v>
      </c>
      <c r="AK27" s="143"/>
    </row>
    <row r="28" spans="1:37" ht="19.5" thickBot="1">
      <c r="A28" s="95">
        <f>Gen!B33</f>
        <v>43913</v>
      </c>
      <c r="B28" s="568">
        <f>'Summery Report'!E27</f>
        <v>3</v>
      </c>
      <c r="C28" s="157">
        <f>Gen!C33</f>
        <v>0</v>
      </c>
      <c r="D28" s="569">
        <f>'Summery Report'!E27</f>
        <v>3</v>
      </c>
      <c r="E28" s="570">
        <f t="shared" si="13"/>
        <v>1.3262195121951219</v>
      </c>
      <c r="F28" s="571">
        <f t="shared" si="14"/>
        <v>498.84862804878048</v>
      </c>
      <c r="G28" s="571">
        <f t="shared" si="0"/>
        <v>498.84862804878048</v>
      </c>
      <c r="H28" s="570">
        <f>Gen!D33</f>
        <v>50245.16</v>
      </c>
      <c r="I28" s="572">
        <f>Gen!F33</f>
        <v>0</v>
      </c>
      <c r="J28" s="141">
        <f>Gen!T33</f>
        <v>1128.43</v>
      </c>
      <c r="K28" s="141">
        <f>Gen!AK33</f>
        <v>0</v>
      </c>
      <c r="L28" s="141">
        <f t="shared" si="1"/>
        <v>1128.43</v>
      </c>
      <c r="M28" s="605">
        <f>'Water-Meter'!K68</f>
        <v>573.87543813033267</v>
      </c>
      <c r="N28" s="220">
        <f>'Water-Meter'!E28</f>
        <v>67</v>
      </c>
      <c r="O28" s="231">
        <v>2.5</v>
      </c>
      <c r="P28" s="512">
        <v>19022</v>
      </c>
      <c r="Q28" s="573">
        <f t="shared" si="2"/>
        <v>2</v>
      </c>
      <c r="R28" s="574">
        <f t="shared" si="5"/>
        <v>5</v>
      </c>
      <c r="S28" s="512"/>
      <c r="T28" s="645">
        <v>16047</v>
      </c>
      <c r="U28" s="573">
        <f t="shared" si="6"/>
        <v>0</v>
      </c>
      <c r="V28" s="575">
        <f t="shared" si="18"/>
        <v>0</v>
      </c>
      <c r="W28" s="512">
        <v>2.7</v>
      </c>
      <c r="X28" s="643">
        <v>24128</v>
      </c>
      <c r="Y28" s="573">
        <f t="shared" si="8"/>
        <v>13</v>
      </c>
      <c r="Z28" s="575">
        <f t="shared" si="9"/>
        <v>35.1</v>
      </c>
      <c r="AA28" s="575">
        <f t="shared" si="10"/>
        <v>848577.6</v>
      </c>
      <c r="AB28" s="644">
        <v>29674</v>
      </c>
      <c r="AC28" s="137">
        <f t="shared" ref="AC28:AC37" si="19">SUM(AB28-AB27)</f>
        <v>37</v>
      </c>
      <c r="AD28" s="512">
        <v>199213</v>
      </c>
      <c r="AE28" s="238">
        <f t="shared" si="15"/>
        <v>40</v>
      </c>
      <c r="AF28" s="349">
        <f>'Lpg (2)'!B32*2000/85</f>
        <v>588.23529411764707</v>
      </c>
      <c r="AG28" s="350">
        <f>'Lpg (2)'!C32*1000/85</f>
        <v>1000</v>
      </c>
      <c r="AH28" s="351">
        <f>'Lpg (2)'!D32*1000/85</f>
        <v>776.47058823529414</v>
      </c>
      <c r="AI28" s="578">
        <f t="shared" si="17"/>
        <v>2952941.1764705884</v>
      </c>
      <c r="AJ28" s="577">
        <f t="shared" si="4"/>
        <v>47058.823529411107</v>
      </c>
      <c r="AK28" s="143"/>
    </row>
    <row r="29" spans="1:37" ht="19.5" thickBot="1">
      <c r="A29" s="95">
        <f>Gen!B34</f>
        <v>43914</v>
      </c>
      <c r="B29" s="568">
        <f>'Summery Report'!E28</f>
        <v>2</v>
      </c>
      <c r="C29" s="157">
        <f>Gen!C34</f>
        <v>0.02</v>
      </c>
      <c r="D29" s="569">
        <f>'Summery Report'!E28</f>
        <v>2</v>
      </c>
      <c r="E29" s="570">
        <f t="shared" si="13"/>
        <v>1.3262195121951219</v>
      </c>
      <c r="F29" s="571">
        <f t="shared" si="14"/>
        <v>642.23506097560983</v>
      </c>
      <c r="G29" s="571">
        <f t="shared" si="0"/>
        <v>807.36265243902449</v>
      </c>
      <c r="H29" s="570">
        <f>Gen!D34</f>
        <v>49116.73</v>
      </c>
      <c r="I29" s="572">
        <f>Gen!F34</f>
        <v>0</v>
      </c>
      <c r="J29" s="141">
        <f>Gen!T34</f>
        <v>968.5200000000001</v>
      </c>
      <c r="K29" s="141">
        <f>Gen!AK34</f>
        <v>249.02</v>
      </c>
      <c r="L29" s="141">
        <f t="shared" si="1"/>
        <v>1217.5400000000002</v>
      </c>
      <c r="M29" s="605">
        <f>'Water-Meter'!K69</f>
        <v>595.01155506736973</v>
      </c>
      <c r="N29" s="220">
        <f>'Water-Meter'!E29</f>
        <v>73</v>
      </c>
      <c r="O29" s="231"/>
      <c r="P29" s="512">
        <v>19022</v>
      </c>
      <c r="Q29" s="573">
        <f t="shared" si="2"/>
        <v>0</v>
      </c>
      <c r="R29" s="574">
        <f t="shared" si="5"/>
        <v>0</v>
      </c>
      <c r="S29" s="512"/>
      <c r="T29" s="645">
        <v>16047</v>
      </c>
      <c r="U29" s="573">
        <f t="shared" si="6"/>
        <v>0</v>
      </c>
      <c r="V29" s="575">
        <f t="shared" si="18"/>
        <v>0</v>
      </c>
      <c r="W29" s="512">
        <v>2.4</v>
      </c>
      <c r="X29" s="643">
        <v>24151</v>
      </c>
      <c r="Y29" s="573">
        <f t="shared" si="8"/>
        <v>23</v>
      </c>
      <c r="Z29" s="575">
        <f t="shared" si="9"/>
        <v>55.199999999999996</v>
      </c>
      <c r="AA29" s="575">
        <f t="shared" si="10"/>
        <v>1335840</v>
      </c>
      <c r="AB29" s="644">
        <v>29727</v>
      </c>
      <c r="AC29" s="137">
        <f t="shared" si="19"/>
        <v>53</v>
      </c>
      <c r="AD29" s="512">
        <v>199253</v>
      </c>
      <c r="AE29" s="238">
        <f t="shared" si="15"/>
        <v>40</v>
      </c>
      <c r="AF29" s="349">
        <f>'Lpg (2)'!B33*2000/85</f>
        <v>564.70588235294122</v>
      </c>
      <c r="AG29" s="350">
        <f>'Lpg (2)'!C33*1000/85</f>
        <v>1000</v>
      </c>
      <c r="AH29" s="351">
        <f>'Lpg (2)'!D33*1000/85</f>
        <v>776.47058823529414</v>
      </c>
      <c r="AI29" s="578">
        <f t="shared" si="17"/>
        <v>2905882.3529411764</v>
      </c>
      <c r="AJ29" s="577">
        <f t="shared" si="4"/>
        <v>47058.823529412039</v>
      </c>
      <c r="AK29" s="143"/>
    </row>
    <row r="30" spans="1:37" ht="19.5" thickBot="1">
      <c r="A30" s="95">
        <f>Gen!B35</f>
        <v>43915</v>
      </c>
      <c r="B30" s="568">
        <f>'Summery Report'!E29</f>
        <v>2</v>
      </c>
      <c r="C30" s="157">
        <f>Gen!C35</f>
        <v>0.02</v>
      </c>
      <c r="D30" s="569">
        <f>'Summery Report'!E29</f>
        <v>2</v>
      </c>
      <c r="E30" s="570">
        <f t="shared" si="13"/>
        <v>1.3262195121951219</v>
      </c>
      <c r="F30" s="571">
        <f t="shared" si="14"/>
        <v>698.24131097560974</v>
      </c>
      <c r="G30" s="571">
        <f t="shared" si="0"/>
        <v>707.59115853658534</v>
      </c>
      <c r="H30" s="570">
        <f>Gen!D35</f>
        <v>47899.19</v>
      </c>
      <c r="I30" s="572">
        <f>Gen!F35</f>
        <v>0</v>
      </c>
      <c r="J30" s="141">
        <f>Gen!T35</f>
        <v>1052.98</v>
      </c>
      <c r="K30" s="141">
        <f>Gen!AK35</f>
        <v>14.1</v>
      </c>
      <c r="L30" s="141">
        <f t="shared" si="1"/>
        <v>1067.08</v>
      </c>
      <c r="M30" s="605">
        <f>'Water-Meter'!K70</f>
        <v>563.38967585368732</v>
      </c>
      <c r="N30" s="220">
        <f>'Water-Meter'!E30</f>
        <v>60</v>
      </c>
      <c r="O30" s="231"/>
      <c r="P30" s="512">
        <v>19022</v>
      </c>
      <c r="Q30" s="573">
        <f t="shared" si="2"/>
        <v>0</v>
      </c>
      <c r="R30" s="574">
        <f t="shared" si="5"/>
        <v>0</v>
      </c>
      <c r="S30" s="512"/>
      <c r="T30" s="645">
        <v>16047</v>
      </c>
      <c r="U30" s="573">
        <f t="shared" si="6"/>
        <v>0</v>
      </c>
      <c r="V30" s="575">
        <f t="shared" si="18"/>
        <v>0</v>
      </c>
      <c r="W30" s="512">
        <v>2.4</v>
      </c>
      <c r="X30" s="643">
        <v>24176</v>
      </c>
      <c r="Y30" s="573">
        <f t="shared" si="8"/>
        <v>25</v>
      </c>
      <c r="Z30" s="575">
        <f t="shared" si="9"/>
        <v>60</v>
      </c>
      <c r="AA30" s="575">
        <f t="shared" si="10"/>
        <v>1452000</v>
      </c>
      <c r="AB30" s="644">
        <v>29788</v>
      </c>
      <c r="AC30" s="137">
        <f t="shared" si="19"/>
        <v>61</v>
      </c>
      <c r="AD30" s="512">
        <v>199289</v>
      </c>
      <c r="AE30" s="238">
        <f t="shared" si="15"/>
        <v>36</v>
      </c>
      <c r="AF30" s="349">
        <f>'Lpg (2)'!B34*2000/85</f>
        <v>541.17647058823525</v>
      </c>
      <c r="AG30" s="350">
        <f>'Lpg (2)'!C34*1000/85</f>
        <v>1000</v>
      </c>
      <c r="AH30" s="351">
        <f>'Lpg (2)'!D34*1000/85</f>
        <v>776.47058823529414</v>
      </c>
      <c r="AI30" s="578">
        <f t="shared" si="17"/>
        <v>2858823.5294117648</v>
      </c>
      <c r="AJ30" s="577">
        <f t="shared" si="4"/>
        <v>47058.823529411573</v>
      </c>
      <c r="AK30" s="143"/>
    </row>
    <row r="31" spans="1:37" ht="19.5" thickBot="1">
      <c r="A31" s="95">
        <f>Gen!B36</f>
        <v>43916</v>
      </c>
      <c r="B31" s="568">
        <f>'Summery Report'!E30</f>
        <v>1</v>
      </c>
      <c r="C31" s="157">
        <f>Gen!C36</f>
        <v>0.02</v>
      </c>
      <c r="D31" s="569">
        <f>'Summery Report'!E30</f>
        <v>1</v>
      </c>
      <c r="E31" s="570">
        <f t="shared" si="13"/>
        <v>1.3262195121951219</v>
      </c>
      <c r="F31" s="571">
        <f t="shared" si="14"/>
        <v>1408.5512195121951</v>
      </c>
      <c r="G31" s="571">
        <f t="shared" si="0"/>
        <v>1454.3986280487802</v>
      </c>
      <c r="H31" s="570">
        <f>Gen!D36</f>
        <v>46832.11</v>
      </c>
      <c r="I31" s="572">
        <f>Gen!F36</f>
        <v>0</v>
      </c>
      <c r="J31" s="141">
        <f>Gen!T36</f>
        <v>1062.08</v>
      </c>
      <c r="K31" s="141">
        <f>Gen!AK36</f>
        <v>34.57</v>
      </c>
      <c r="L31" s="141">
        <f t="shared" si="1"/>
        <v>1096.6499999999999</v>
      </c>
      <c r="M31" s="605">
        <f>'Water-Meter'!K71</f>
        <v>567.20168629755153</v>
      </c>
      <c r="N31" s="220">
        <f>'Water-Meter'!E31</f>
        <v>50</v>
      </c>
      <c r="O31" s="231"/>
      <c r="P31" s="512">
        <v>19022</v>
      </c>
      <c r="Q31" s="573">
        <f t="shared" si="2"/>
        <v>0</v>
      </c>
      <c r="R31" s="574">
        <f t="shared" si="5"/>
        <v>0</v>
      </c>
      <c r="S31" s="512"/>
      <c r="T31" s="645">
        <v>16047</v>
      </c>
      <c r="U31" s="573">
        <f t="shared" si="6"/>
        <v>0</v>
      </c>
      <c r="V31" s="575">
        <f t="shared" si="18"/>
        <v>0</v>
      </c>
      <c r="W31" s="512">
        <v>2.2999999999999998</v>
      </c>
      <c r="X31" s="646">
        <v>24200</v>
      </c>
      <c r="Y31" s="573">
        <f t="shared" si="8"/>
        <v>24</v>
      </c>
      <c r="Z31" s="575">
        <f t="shared" si="9"/>
        <v>55.199999999999996</v>
      </c>
      <c r="AA31" s="575">
        <f t="shared" si="10"/>
        <v>1335840</v>
      </c>
      <c r="AB31" s="644">
        <v>29834</v>
      </c>
      <c r="AC31" s="137">
        <f t="shared" si="19"/>
        <v>46</v>
      </c>
      <c r="AD31" s="512">
        <v>199327</v>
      </c>
      <c r="AE31" s="238">
        <f t="shared" si="15"/>
        <v>38</v>
      </c>
      <c r="AF31" s="349">
        <f>'Lpg (2)'!B35*2000/85</f>
        <v>517.64705882352939</v>
      </c>
      <c r="AG31" s="350">
        <f>'Lpg (2)'!C35*1000/85</f>
        <v>1000</v>
      </c>
      <c r="AH31" s="351">
        <f>'Lpg (2)'!D35*1000/85</f>
        <v>776.47058823529414</v>
      </c>
      <c r="AI31" s="578">
        <f t="shared" si="17"/>
        <v>2811764.7058823528</v>
      </c>
      <c r="AJ31" s="577">
        <f t="shared" si="4"/>
        <v>47058.823529412039</v>
      </c>
      <c r="AK31" s="143"/>
    </row>
    <row r="32" spans="1:37" ht="19.5" thickBot="1">
      <c r="A32" s="95">
        <f>Gen!B37</f>
        <v>43917</v>
      </c>
      <c r="B32" s="568">
        <f>'Summery Report'!E31</f>
        <v>1</v>
      </c>
      <c r="C32" s="157">
        <f>Gen!C37</f>
        <v>0</v>
      </c>
      <c r="D32" s="569">
        <f>'Summery Report'!E31</f>
        <v>1</v>
      </c>
      <c r="E32" s="570">
        <f t="shared" si="13"/>
        <v>1.3262195121951219</v>
      </c>
      <c r="F32" s="571">
        <f t="shared" si="14"/>
        <v>1270.7967987804877</v>
      </c>
      <c r="G32" s="571">
        <f t="shared" si="0"/>
        <v>1461.9315548780487</v>
      </c>
      <c r="H32" s="570">
        <f>Gen!D37</f>
        <v>45735.46</v>
      </c>
      <c r="I32" s="572">
        <f>Gen!F37</f>
        <v>0</v>
      </c>
      <c r="J32" s="141">
        <f>Gen!T37</f>
        <v>958.21</v>
      </c>
      <c r="K32" s="141">
        <f>Gen!AK37</f>
        <v>144.12</v>
      </c>
      <c r="L32" s="141">
        <f t="shared" si="1"/>
        <v>1102.33</v>
      </c>
      <c r="M32" s="605">
        <f>'Water-Meter'!K72</f>
        <v>479.82591192496812</v>
      </c>
      <c r="N32" s="220">
        <f>'Water-Meter'!E32</f>
        <v>96</v>
      </c>
      <c r="O32" s="231"/>
      <c r="P32" s="512">
        <v>19025</v>
      </c>
      <c r="Q32" s="573">
        <f t="shared" si="2"/>
        <v>3</v>
      </c>
      <c r="R32" s="574">
        <f t="shared" si="5"/>
        <v>0</v>
      </c>
      <c r="S32" s="512">
        <v>7.1</v>
      </c>
      <c r="T32" s="645">
        <v>16064</v>
      </c>
      <c r="U32" s="573">
        <f t="shared" si="6"/>
        <v>17</v>
      </c>
      <c r="V32" s="575">
        <f t="shared" si="18"/>
        <v>120.69999999999999</v>
      </c>
      <c r="W32" s="512"/>
      <c r="X32" s="643">
        <v>24200</v>
      </c>
      <c r="Y32" s="573">
        <f t="shared" si="8"/>
        <v>0</v>
      </c>
      <c r="Z32" s="575">
        <f t="shared" si="9"/>
        <v>0</v>
      </c>
      <c r="AA32" s="575">
        <f t="shared" si="10"/>
        <v>0</v>
      </c>
      <c r="AB32" s="644">
        <v>29886</v>
      </c>
      <c r="AC32" s="137">
        <f t="shared" si="19"/>
        <v>52</v>
      </c>
      <c r="AD32" s="512">
        <v>199362</v>
      </c>
      <c r="AE32" s="238">
        <f t="shared" si="15"/>
        <v>35</v>
      </c>
      <c r="AF32" s="349">
        <f>'Lpg (2)'!B36*2000/85</f>
        <v>494.11764705882354</v>
      </c>
      <c r="AG32" s="350">
        <f>'Lpg (2)'!C36*1000/85</f>
        <v>1000</v>
      </c>
      <c r="AH32" s="351">
        <f>'Lpg (2)'!D36*1000/85</f>
        <v>776.47058823529414</v>
      </c>
      <c r="AI32" s="578">
        <f t="shared" si="17"/>
        <v>2764705.8823529412</v>
      </c>
      <c r="AJ32" s="577">
        <f t="shared" si="4"/>
        <v>47058.823529411573</v>
      </c>
      <c r="AK32" s="143"/>
    </row>
    <row r="33" spans="1:37" ht="19.5" thickBot="1">
      <c r="A33" s="95">
        <f>Gen!B38</f>
        <v>43918</v>
      </c>
      <c r="B33" s="568">
        <f>'Summery Report'!E32</f>
        <v>1</v>
      </c>
      <c r="C33" s="157">
        <f>Gen!C38</f>
        <v>0</v>
      </c>
      <c r="D33" s="569">
        <f>'Summery Report'!E32</f>
        <v>1</v>
      </c>
      <c r="E33" s="570">
        <f t="shared" si="13"/>
        <v>1.3262195121951219</v>
      </c>
      <c r="F33" s="571">
        <f t="shared" si="14"/>
        <v>1075.9088414634145</v>
      </c>
      <c r="G33" s="571">
        <f t="shared" si="0"/>
        <v>1179.6192073170732</v>
      </c>
      <c r="H33" s="570">
        <f>Gen!D38</f>
        <v>44633.13</v>
      </c>
      <c r="I33" s="572">
        <f>Gen!F38</f>
        <v>0</v>
      </c>
      <c r="J33" s="141">
        <f>Gen!T38</f>
        <v>811.26</v>
      </c>
      <c r="K33" s="141">
        <f>Gen!AK38</f>
        <v>78.2</v>
      </c>
      <c r="L33" s="141">
        <f t="shared" si="1"/>
        <v>889.46</v>
      </c>
      <c r="M33" s="605">
        <f>'Water-Meter'!K73</f>
        <v>511.05585887738653</v>
      </c>
      <c r="N33" s="220">
        <f>'Water-Meter'!E33</f>
        <v>32</v>
      </c>
      <c r="O33" s="231"/>
      <c r="P33" s="512">
        <v>19025</v>
      </c>
      <c r="Q33" s="573">
        <f t="shared" si="2"/>
        <v>0</v>
      </c>
      <c r="R33" s="574">
        <f t="shared" si="5"/>
        <v>0</v>
      </c>
      <c r="S33" s="512">
        <v>7.2</v>
      </c>
      <c r="T33" s="645">
        <v>16069</v>
      </c>
      <c r="U33" s="573">
        <f t="shared" si="6"/>
        <v>5</v>
      </c>
      <c r="V33" s="575">
        <f t="shared" si="18"/>
        <v>36</v>
      </c>
      <c r="W33" s="512"/>
      <c r="X33" s="643">
        <v>24200</v>
      </c>
      <c r="Y33" s="573">
        <f t="shared" si="8"/>
        <v>0</v>
      </c>
      <c r="Z33" s="575">
        <f t="shared" si="9"/>
        <v>0</v>
      </c>
      <c r="AA33" s="575">
        <f t="shared" si="10"/>
        <v>0</v>
      </c>
      <c r="AB33" s="644">
        <v>30021</v>
      </c>
      <c r="AC33" s="137">
        <f t="shared" si="19"/>
        <v>135</v>
      </c>
      <c r="AD33" s="512">
        <v>199386</v>
      </c>
      <c r="AE33" s="238">
        <f t="shared" si="15"/>
        <v>24</v>
      </c>
      <c r="AF33" s="349">
        <f>'Lpg (2)'!B37*2000/85</f>
        <v>470.58823529411762</v>
      </c>
      <c r="AG33" s="350">
        <f>'Lpg (2)'!C37*1000/85</f>
        <v>1000</v>
      </c>
      <c r="AH33" s="351">
        <f>'Lpg (2)'!D37*1000/85</f>
        <v>776.47058823529414</v>
      </c>
      <c r="AI33" s="578">
        <f t="shared" si="17"/>
        <v>2717647.0588235292</v>
      </c>
      <c r="AJ33" s="577">
        <f t="shared" si="4"/>
        <v>47058.823529412039</v>
      </c>
      <c r="AK33" s="143"/>
    </row>
    <row r="34" spans="1:37" ht="19.5" thickBot="1">
      <c r="A34" s="95">
        <f>Gen!B39</f>
        <v>43919</v>
      </c>
      <c r="B34" s="568">
        <f>'Summery Report'!E33</f>
        <v>0</v>
      </c>
      <c r="C34" s="157">
        <f>Gen!C39</f>
        <v>0</v>
      </c>
      <c r="D34" s="569">
        <f>'Summery Report'!E33</f>
        <v>0</v>
      </c>
      <c r="E34" s="570">
        <f t="shared" si="13"/>
        <v>1.3262195121951219</v>
      </c>
      <c r="F34" s="571" t="e">
        <f t="shared" si="14"/>
        <v>#DIV/0!</v>
      </c>
      <c r="G34" s="571" t="e">
        <f t="shared" si="0"/>
        <v>#DIV/0!</v>
      </c>
      <c r="H34" s="570">
        <f>Gen!D39</f>
        <v>43743.67</v>
      </c>
      <c r="I34" s="572">
        <f>Gen!F39</f>
        <v>0</v>
      </c>
      <c r="J34" s="141">
        <f>Gen!T39</f>
        <v>839.53</v>
      </c>
      <c r="K34" s="141">
        <f>Gen!AK39</f>
        <v>0</v>
      </c>
      <c r="L34" s="141">
        <f t="shared" si="1"/>
        <v>839.53</v>
      </c>
      <c r="M34" s="605">
        <f>'Water-Meter'!K74</f>
        <v>511.05585887738653</v>
      </c>
      <c r="N34" s="220">
        <f>'Water-Meter'!E34</f>
        <v>38</v>
      </c>
      <c r="O34" s="231"/>
      <c r="P34" s="512">
        <v>19025</v>
      </c>
      <c r="Q34" s="573">
        <f t="shared" si="2"/>
        <v>0</v>
      </c>
      <c r="R34" s="574">
        <f t="shared" si="5"/>
        <v>0</v>
      </c>
      <c r="S34" s="512"/>
      <c r="T34" s="645">
        <v>16069</v>
      </c>
      <c r="U34" s="573">
        <f t="shared" si="6"/>
        <v>0</v>
      </c>
      <c r="V34" s="575">
        <f t="shared" si="18"/>
        <v>0</v>
      </c>
      <c r="W34" s="512">
        <v>2.4</v>
      </c>
      <c r="X34" s="643">
        <v>24216</v>
      </c>
      <c r="Y34" s="573">
        <f t="shared" si="8"/>
        <v>16</v>
      </c>
      <c r="Z34" s="575">
        <f t="shared" si="9"/>
        <v>38.4</v>
      </c>
      <c r="AA34" s="575">
        <f t="shared" si="10"/>
        <v>930816</v>
      </c>
      <c r="AB34" s="644">
        <v>30055</v>
      </c>
      <c r="AC34" s="137">
        <f t="shared" si="19"/>
        <v>34</v>
      </c>
      <c r="AD34" s="512">
        <v>199411</v>
      </c>
      <c r="AE34" s="238">
        <f t="shared" si="15"/>
        <v>25</v>
      </c>
      <c r="AF34" s="349">
        <f>'Lpg (2)'!B38*2000/85</f>
        <v>447.05882352941177</v>
      </c>
      <c r="AG34" s="350">
        <f>'Lpg (2)'!C38*1000/85</f>
        <v>1000</v>
      </c>
      <c r="AH34" s="351">
        <f>'Lpg (2)'!D38*1000/85</f>
        <v>776.47058823529414</v>
      </c>
      <c r="AI34" s="578">
        <f t="shared" si="17"/>
        <v>2670588.2352941176</v>
      </c>
      <c r="AJ34" s="577">
        <f t="shared" si="4"/>
        <v>47058.823529411573</v>
      </c>
      <c r="AK34" s="143"/>
    </row>
    <row r="35" spans="1:37" ht="19.5" thickBot="1">
      <c r="A35" s="95">
        <f>Gen!B40</f>
        <v>43920</v>
      </c>
      <c r="B35" s="568">
        <f>'Summery Report'!E34</f>
        <v>0</v>
      </c>
      <c r="C35" s="157">
        <f>Gen!C40</f>
        <v>0</v>
      </c>
      <c r="D35" s="569">
        <f>'Summery Report'!E34</f>
        <v>0</v>
      </c>
      <c r="E35" s="570">
        <f t="shared" si="13"/>
        <v>1.3262195121951219</v>
      </c>
      <c r="F35" s="571" t="e">
        <f t="shared" si="14"/>
        <v>#DIV/0!</v>
      </c>
      <c r="G35" s="571" t="e">
        <f t="shared" si="0"/>
        <v>#DIV/0!</v>
      </c>
      <c r="H35" s="570">
        <f>Gen!D40</f>
        <v>42904.14</v>
      </c>
      <c r="I35" s="572">
        <f>Gen!F40</f>
        <v>0</v>
      </c>
      <c r="J35" s="141">
        <f>Gen!T40</f>
        <v>935.36</v>
      </c>
      <c r="K35" s="141">
        <f>Gen!AK40</f>
        <v>0</v>
      </c>
      <c r="L35" s="141">
        <f t="shared" si="1"/>
        <v>935.36</v>
      </c>
      <c r="M35" s="605">
        <f>'Water-Meter'!K75</f>
        <v>536.64370649895409</v>
      </c>
      <c r="N35" s="220">
        <f>'Water-Meter'!E35</f>
        <v>46</v>
      </c>
      <c r="O35" s="231"/>
      <c r="P35" s="512">
        <v>19025</v>
      </c>
      <c r="Q35" s="573">
        <f t="shared" si="2"/>
        <v>0</v>
      </c>
      <c r="R35" s="574">
        <f t="shared" si="5"/>
        <v>0</v>
      </c>
      <c r="S35" s="512"/>
      <c r="T35" s="645">
        <v>16069</v>
      </c>
      <c r="U35" s="573">
        <f t="shared" si="6"/>
        <v>0</v>
      </c>
      <c r="V35" s="575">
        <f t="shared" si="18"/>
        <v>0</v>
      </c>
      <c r="W35" s="512">
        <v>2.2999999999999998</v>
      </c>
      <c r="X35" s="643">
        <v>24240</v>
      </c>
      <c r="Y35" s="573">
        <f t="shared" si="8"/>
        <v>24</v>
      </c>
      <c r="Z35" s="575">
        <f t="shared" si="9"/>
        <v>55.199999999999996</v>
      </c>
      <c r="AA35" s="575">
        <f t="shared" si="10"/>
        <v>0</v>
      </c>
      <c r="AB35" s="644">
        <v>30105</v>
      </c>
      <c r="AC35" s="137">
        <f t="shared" si="19"/>
        <v>50</v>
      </c>
      <c r="AD35" s="512">
        <v>199437</v>
      </c>
      <c r="AE35" s="238">
        <f t="shared" si="15"/>
        <v>26</v>
      </c>
      <c r="AF35" s="349">
        <f>'Lpg (2)'!B39*2000/85</f>
        <v>423.52941176470586</v>
      </c>
      <c r="AG35" s="350">
        <f>'Lpg (2)'!C39*1000/85</f>
        <v>1000</v>
      </c>
      <c r="AH35" s="351">
        <f>'Lpg (2)'!D39*1000/85</f>
        <v>776.47058823529414</v>
      </c>
      <c r="AI35" s="578">
        <f t="shared" si="17"/>
        <v>2623529.4117647056</v>
      </c>
      <c r="AJ35" s="577">
        <f t="shared" si="4"/>
        <v>47058.823529412039</v>
      </c>
      <c r="AK35" s="145"/>
    </row>
    <row r="36" spans="1:37" ht="19.5" thickBot="1">
      <c r="A36" s="95">
        <f>Gen!B41</f>
        <v>43921</v>
      </c>
      <c r="B36" s="568">
        <f>'Summery Report'!E35</f>
        <v>0</v>
      </c>
      <c r="C36" s="157">
        <f>Gen!C41</f>
        <v>0</v>
      </c>
      <c r="D36" s="569">
        <f>'Summery Report'!E35</f>
        <v>0</v>
      </c>
      <c r="E36" s="570">
        <f t="shared" si="13"/>
        <v>1.3262195121951219</v>
      </c>
      <c r="F36" s="571" t="e">
        <f t="shared" si="14"/>
        <v>#DIV/0!</v>
      </c>
      <c r="G36" s="571" t="e">
        <f t="shared" si="0"/>
        <v>#DIV/0!</v>
      </c>
      <c r="H36" s="570">
        <f>Gen!D41</f>
        <v>41968.78</v>
      </c>
      <c r="I36" s="572">
        <f>Gen!F41</f>
        <v>0</v>
      </c>
      <c r="J36" s="141">
        <f>Gen!T41</f>
        <v>919.91</v>
      </c>
      <c r="K36" s="141">
        <f>Gen!AK41</f>
        <v>0</v>
      </c>
      <c r="L36" s="141">
        <f t="shared" si="1"/>
        <v>919.91</v>
      </c>
      <c r="M36" s="605">
        <f>'Water-Meter'!K76</f>
        <v>434.92781384818153</v>
      </c>
      <c r="N36" s="220">
        <f>'Water-Meter'!E36</f>
        <v>64</v>
      </c>
      <c r="O36" s="231">
        <v>2.1</v>
      </c>
      <c r="P36" s="512">
        <v>19027</v>
      </c>
      <c r="Q36" s="573">
        <f t="shared" si="2"/>
        <v>2</v>
      </c>
      <c r="R36" s="574">
        <f t="shared" si="5"/>
        <v>4.2</v>
      </c>
      <c r="S36" s="512">
        <v>8.4</v>
      </c>
      <c r="T36" s="645">
        <v>16086</v>
      </c>
      <c r="U36" s="573">
        <f t="shared" si="6"/>
        <v>17</v>
      </c>
      <c r="V36" s="575">
        <f t="shared" si="18"/>
        <v>142.80000000000001</v>
      </c>
      <c r="W36" s="512"/>
      <c r="X36" s="643">
        <v>24240</v>
      </c>
      <c r="Y36" s="573">
        <f t="shared" si="8"/>
        <v>0</v>
      </c>
      <c r="Z36" s="575">
        <f t="shared" si="9"/>
        <v>0</v>
      </c>
      <c r="AA36" s="575">
        <f t="shared" si="10"/>
        <v>0</v>
      </c>
      <c r="AB36" s="644">
        <v>30249</v>
      </c>
      <c r="AC36" s="137">
        <f t="shared" si="19"/>
        <v>144</v>
      </c>
      <c r="AD36" s="512">
        <v>199465</v>
      </c>
      <c r="AE36" s="238">
        <f t="shared" si="15"/>
        <v>28</v>
      </c>
      <c r="AF36" s="349">
        <f>'Lpg (2)'!B40*2000/85</f>
        <v>400</v>
      </c>
      <c r="AG36" s="350">
        <f>'Lpg (2)'!C40*1000/85</f>
        <v>1000</v>
      </c>
      <c r="AH36" s="351">
        <f>'Lpg (2)'!D40*1000/85</f>
        <v>776.47058823529414</v>
      </c>
      <c r="AI36" s="579">
        <f>SUM(AF36*1000)+(AG36*1000)+(AH36*2000)</f>
        <v>2952941.176470588</v>
      </c>
      <c r="AJ36" s="580">
        <f t="shared" si="4"/>
        <v>-329411.76470588241</v>
      </c>
      <c r="AK36" s="145"/>
    </row>
    <row r="37" spans="1:37" s="9" customFormat="1" ht="15.75" thickBot="1">
      <c r="A37" s="95">
        <f>Gen!B42</f>
        <v>43922</v>
      </c>
      <c r="B37" s="160">
        <v>0</v>
      </c>
      <c r="C37" s="161"/>
      <c r="D37" s="161"/>
      <c r="E37" s="161"/>
      <c r="F37" s="161"/>
      <c r="G37" s="161"/>
      <c r="H37" s="162"/>
      <c r="I37" s="163"/>
      <c r="J37" s="164">
        <f>SUM(J6:J36)</f>
        <v>50610.58</v>
      </c>
      <c r="K37" s="164"/>
      <c r="L37" s="141">
        <f t="shared" si="1"/>
        <v>50610.58</v>
      </c>
      <c r="M37" s="165"/>
      <c r="N37" s="220" t="str">
        <f>'Water-Meter'!E37</f>
        <v>0</v>
      </c>
      <c r="O37" s="165"/>
      <c r="P37" s="165"/>
      <c r="Q37" s="165"/>
      <c r="R37" s="165"/>
      <c r="S37" s="165"/>
      <c r="T37" s="165"/>
      <c r="U37" s="369"/>
      <c r="V37" s="165"/>
      <c r="W37" s="165"/>
      <c r="X37" s="165"/>
      <c r="Y37" s="165"/>
      <c r="Z37" s="165"/>
      <c r="AA37" s="581"/>
      <c r="AB37" s="166"/>
      <c r="AC37" s="137">
        <f t="shared" si="19"/>
        <v>-30249</v>
      </c>
      <c r="AD37" s="231"/>
      <c r="AE37" s="238">
        <f t="shared" si="15"/>
        <v>-199465</v>
      </c>
      <c r="AF37" s="165"/>
      <c r="AG37" s="165"/>
      <c r="AH37" s="165"/>
      <c r="AI37" s="162"/>
      <c r="AJ37" s="167">
        <f>SUM(AJ6:AJ36)</f>
        <v>-2952941.176470588</v>
      </c>
      <c r="AK37" s="168">
        <f>SUM(AK6:AK36)</f>
        <v>0</v>
      </c>
    </row>
    <row r="38" spans="1:37" s="75" customFormat="1">
      <c r="A38" s="365"/>
      <c r="B38" s="366"/>
      <c r="C38" s="367"/>
      <c r="D38" s="367"/>
      <c r="E38" s="367"/>
      <c r="F38" s="367"/>
      <c r="G38" s="367"/>
      <c r="H38" s="366"/>
      <c r="I38" s="366"/>
      <c r="J38" s="368"/>
      <c r="K38" s="368"/>
      <c r="L38" s="368"/>
      <c r="M38" s="369"/>
      <c r="N38" s="369"/>
      <c r="O38" s="369"/>
      <c r="P38" s="369"/>
      <c r="Q38" s="369"/>
      <c r="R38" s="369"/>
      <c r="S38" s="369"/>
      <c r="T38" s="369"/>
      <c r="U38" s="369"/>
      <c r="V38" s="369"/>
      <c r="W38" s="369"/>
      <c r="X38" s="158"/>
      <c r="Y38" s="158"/>
      <c r="Z38" s="158"/>
      <c r="AA38" s="138"/>
      <c r="AB38" s="138"/>
      <c r="AC38" s="159"/>
      <c r="AD38" s="138"/>
      <c r="AE38" s="159"/>
      <c r="AF38" s="158"/>
      <c r="AG38" s="158"/>
      <c r="AH38" s="158"/>
      <c r="AI38" s="138"/>
      <c r="AJ38" s="138"/>
      <c r="AK38" s="158"/>
    </row>
    <row r="39" spans="1:37">
      <c r="C39" s="139"/>
      <c r="J39" s="139"/>
      <c r="X39" s="139"/>
      <c r="AF39" s="139"/>
      <c r="AH39" s="138"/>
    </row>
    <row r="40" spans="1:37" ht="30.75" customHeight="1">
      <c r="C40" s="139"/>
      <c r="J40" s="139"/>
      <c r="X40" s="139"/>
    </row>
    <row r="41" spans="1:37">
      <c r="C41" s="139"/>
      <c r="J41" s="139"/>
    </row>
    <row r="42" spans="1:37">
      <c r="C42" s="139"/>
      <c r="J42" s="139"/>
    </row>
    <row r="43" spans="1:37" ht="15">
      <c r="C43" s="139"/>
      <c r="J43" s="139"/>
      <c r="X43" s="582"/>
    </row>
    <row r="44" spans="1:37" ht="15">
      <c r="C44" s="139"/>
      <c r="J44" s="139"/>
      <c r="X44" s="583"/>
    </row>
    <row r="45" spans="1:37" ht="15">
      <c r="C45" s="139"/>
      <c r="J45" s="139"/>
      <c r="X45" s="582"/>
    </row>
    <row r="46" spans="1:37" ht="15">
      <c r="C46" s="139"/>
      <c r="J46" s="139"/>
      <c r="X46" s="583"/>
    </row>
    <row r="47" spans="1:37">
      <c r="C47" s="139"/>
      <c r="J47" s="139"/>
    </row>
    <row r="48" spans="1:37">
      <c r="C48" s="139"/>
      <c r="J48" s="139"/>
    </row>
    <row r="49" spans="3:10">
      <c r="C49" s="139"/>
      <c r="J49" s="139"/>
    </row>
    <row r="50" spans="3:10">
      <c r="C50" s="139"/>
      <c r="J50" s="139"/>
    </row>
    <row r="51" spans="3:10">
      <c r="C51" s="139"/>
      <c r="J51" s="139"/>
    </row>
    <row r="52" spans="3:10">
      <c r="C52" s="139"/>
      <c r="J52" s="139"/>
    </row>
    <row r="53" spans="3:10">
      <c r="C53" s="139"/>
      <c r="J53" s="139"/>
    </row>
    <row r="54" spans="3:10">
      <c r="C54" s="139"/>
      <c r="J54" s="139"/>
    </row>
    <row r="55" spans="3:10">
      <c r="C55" s="139"/>
      <c r="J55" s="139"/>
    </row>
    <row r="56" spans="3:10">
      <c r="C56" s="139"/>
      <c r="J56" s="139"/>
    </row>
    <row r="57" spans="3:10">
      <c r="C57" s="139"/>
      <c r="J57" s="139"/>
    </row>
    <row r="58" spans="3:10">
      <c r="C58" s="139"/>
      <c r="J58" s="139"/>
    </row>
    <row r="59" spans="3:10">
      <c r="C59" s="139"/>
      <c r="J59" s="139"/>
    </row>
    <row r="60" spans="3:10">
      <c r="C60" s="139"/>
      <c r="J60" s="139"/>
    </row>
    <row r="61" spans="3:10">
      <c r="C61" s="139"/>
      <c r="J61" s="139"/>
    </row>
    <row r="62" spans="3:10">
      <c r="C62" s="139"/>
      <c r="J62" s="139"/>
    </row>
    <row r="63" spans="3:10">
      <c r="C63" s="139"/>
      <c r="J63" s="139"/>
    </row>
    <row r="64" spans="3:10">
      <c r="C64" s="139"/>
      <c r="J64" s="139"/>
    </row>
    <row r="65" spans="3:24">
      <c r="C65" s="139"/>
      <c r="J65" s="139"/>
    </row>
    <row r="66" spans="3:24" ht="15">
      <c r="C66" s="139"/>
      <c r="J66" s="139"/>
      <c r="X66" s="584"/>
    </row>
    <row r="67" spans="3:24" ht="15">
      <c r="C67" s="139"/>
      <c r="J67" s="139"/>
      <c r="X67" s="585"/>
    </row>
    <row r="68" spans="3:24" ht="15">
      <c r="C68" s="139"/>
      <c r="J68" s="139"/>
      <c r="X68" s="585"/>
    </row>
    <row r="69" spans="3:24" ht="15">
      <c r="C69" s="139"/>
      <c r="J69" s="139"/>
      <c r="X69" s="585"/>
    </row>
    <row r="70" spans="3:24" ht="15">
      <c r="C70" s="139"/>
      <c r="J70" s="139"/>
      <c r="X70" s="585"/>
    </row>
    <row r="71" spans="3:24" ht="15">
      <c r="C71" s="139"/>
      <c r="J71" s="139"/>
      <c r="X71" s="585"/>
    </row>
    <row r="72" spans="3:24">
      <c r="C72" s="139"/>
      <c r="J72" s="139"/>
      <c r="X72" s="20"/>
    </row>
    <row r="73" spans="3:24">
      <c r="C73" s="139"/>
      <c r="J73" s="139"/>
      <c r="X73" s="20"/>
    </row>
    <row r="74" spans="3:24">
      <c r="C74" s="139"/>
      <c r="J74" s="139"/>
    </row>
  </sheetData>
  <mergeCells count="11">
    <mergeCell ref="O3:R3"/>
    <mergeCell ref="S3:V3"/>
    <mergeCell ref="W3:Z3"/>
    <mergeCell ref="O2:Z2"/>
    <mergeCell ref="A1:AK1"/>
    <mergeCell ref="B2:D2"/>
    <mergeCell ref="F3:G3"/>
    <mergeCell ref="AB2:AC2"/>
    <mergeCell ref="N2:N4"/>
    <mergeCell ref="J2:J4"/>
    <mergeCell ref="L2:L4"/>
  </mergeCells>
  <pageMargins left="0.7" right="0.7" top="0.75" bottom="0.75" header="0.3" footer="0.3"/>
  <pageSetup paperSize="9" scale="3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H53"/>
  <sheetViews>
    <sheetView topLeftCell="A10" zoomScale="86" zoomScaleNormal="86" workbookViewId="0">
      <selection activeCell="W36" sqref="W36"/>
    </sheetView>
  </sheetViews>
  <sheetFormatPr defaultRowHeight="12.75"/>
  <cols>
    <col min="1" max="1" width="9.140625" style="51" customWidth="1"/>
    <col min="2" max="2" width="14.28515625" bestFit="1" customWidth="1"/>
    <col min="3" max="3" width="9.140625" hidden="1" customWidth="1"/>
    <col min="4" max="4" width="8.85546875" customWidth="1"/>
    <col min="5" max="5" width="17.28515625" bestFit="1" customWidth="1"/>
    <col min="6" max="6" width="13.140625" customWidth="1"/>
    <col min="7" max="7" width="1.140625" customWidth="1"/>
    <col min="8" max="8" width="14.28515625" bestFit="1" customWidth="1"/>
    <col min="9" max="9" width="9.140625" hidden="1" customWidth="1"/>
    <col min="10" max="10" width="8.85546875" customWidth="1"/>
    <col min="11" max="11" width="16.85546875" customWidth="1"/>
    <col min="12" max="12" width="9.28515625" bestFit="1" customWidth="1"/>
    <col min="13" max="13" width="15" customWidth="1"/>
    <col min="14" max="16" width="7.85546875" customWidth="1"/>
    <col min="17" max="17" width="12.28515625" customWidth="1"/>
    <col min="18" max="18" width="16.5703125" customWidth="1"/>
    <col min="19" max="19" width="12.5703125" style="16" customWidth="1"/>
    <col min="20" max="20" width="14.28515625" bestFit="1" customWidth="1"/>
    <col min="21" max="21" width="9.140625" hidden="1" customWidth="1"/>
    <col min="22" max="22" width="8.85546875" customWidth="1"/>
    <col min="23" max="23" width="14.85546875" customWidth="1"/>
    <col min="25" max="25" width="14.28515625" bestFit="1" customWidth="1"/>
    <col min="26" max="26" width="9.140625" hidden="1" customWidth="1"/>
    <col min="27" max="27" width="15.7109375" customWidth="1"/>
    <col min="28" max="28" width="14.85546875" customWidth="1"/>
    <col min="29" max="29" width="11.140625" customWidth="1"/>
  </cols>
  <sheetData>
    <row r="1" spans="1:34" ht="19.5" customHeight="1" thickBot="1">
      <c r="B1" s="793" t="s">
        <v>151</v>
      </c>
      <c r="C1" s="794"/>
      <c r="D1" s="794"/>
      <c r="E1" s="794"/>
      <c r="F1" s="795"/>
      <c r="G1" s="188"/>
      <c r="H1" s="793" t="s">
        <v>152</v>
      </c>
      <c r="I1" s="794"/>
      <c r="J1" s="794"/>
      <c r="K1" s="794"/>
      <c r="L1" s="795"/>
      <c r="M1" s="793" t="s">
        <v>171</v>
      </c>
      <c r="N1" s="794"/>
      <c r="O1" s="794"/>
      <c r="P1" s="794"/>
      <c r="Q1" s="795"/>
      <c r="R1" s="188"/>
      <c r="T1" s="793" t="s">
        <v>167</v>
      </c>
      <c r="U1" s="794"/>
      <c r="V1" s="794"/>
      <c r="W1" s="794"/>
      <c r="X1" s="795"/>
      <c r="Y1" s="793" t="s">
        <v>170</v>
      </c>
      <c r="Z1" s="794"/>
      <c r="AA1" s="794"/>
      <c r="AB1" s="794"/>
      <c r="AC1" s="795"/>
    </row>
    <row r="2" spans="1:34" ht="75.75" thickBot="1">
      <c r="A2" s="206" t="s">
        <v>24</v>
      </c>
      <c r="B2" s="189" t="s">
        <v>153</v>
      </c>
      <c r="C2" s="190" t="s">
        <v>154</v>
      </c>
      <c r="D2" s="191" t="s">
        <v>155</v>
      </c>
      <c r="E2" s="191" t="s">
        <v>156</v>
      </c>
      <c r="F2" s="192" t="s">
        <v>160</v>
      </c>
      <c r="G2" s="193"/>
      <c r="H2" s="189" t="s">
        <v>153</v>
      </c>
      <c r="I2" s="190" t="s">
        <v>154</v>
      </c>
      <c r="J2" s="191" t="s">
        <v>164</v>
      </c>
      <c r="K2" s="191" t="s">
        <v>163</v>
      </c>
      <c r="L2" s="209" t="s">
        <v>161</v>
      </c>
      <c r="M2" s="189" t="s">
        <v>153</v>
      </c>
      <c r="N2" s="190" t="s">
        <v>154</v>
      </c>
      <c r="O2" s="191" t="s">
        <v>164</v>
      </c>
      <c r="P2" s="191" t="s">
        <v>163</v>
      </c>
      <c r="Q2" s="209" t="s">
        <v>161</v>
      </c>
      <c r="R2" s="449" t="s">
        <v>162</v>
      </c>
      <c r="S2" s="450" t="s">
        <v>159</v>
      </c>
      <c r="T2" s="189" t="s">
        <v>153</v>
      </c>
      <c r="U2" s="190" t="s">
        <v>154</v>
      </c>
      <c r="V2" s="191" t="s">
        <v>169</v>
      </c>
      <c r="W2" s="191" t="s">
        <v>168</v>
      </c>
      <c r="X2" s="192" t="s">
        <v>160</v>
      </c>
      <c r="Y2" s="189" t="s">
        <v>153</v>
      </c>
      <c r="Z2" s="190" t="s">
        <v>154</v>
      </c>
      <c r="AA2" s="191" t="s">
        <v>164</v>
      </c>
      <c r="AB2" s="191" t="s">
        <v>163</v>
      </c>
      <c r="AC2" s="192" t="s">
        <v>161</v>
      </c>
    </row>
    <row r="3" spans="1:34" ht="31.5" customHeight="1" thickBot="1">
      <c r="A3" s="207">
        <v>43770</v>
      </c>
      <c r="B3" s="796" t="s">
        <v>157</v>
      </c>
      <c r="C3" s="797"/>
      <c r="D3" s="204"/>
      <c r="E3" s="519">
        <v>8546.1</v>
      </c>
      <c r="F3" s="205" t="s">
        <v>158</v>
      </c>
      <c r="G3" s="196"/>
      <c r="H3" s="796" t="s">
        <v>157</v>
      </c>
      <c r="I3" s="797"/>
      <c r="J3" s="322"/>
      <c r="K3" s="448">
        <f>'[1]Water-Meter'!G5</f>
        <v>36423</v>
      </c>
      <c r="L3" s="322"/>
      <c r="M3" s="796" t="s">
        <v>157</v>
      </c>
      <c r="N3" s="797"/>
      <c r="O3" s="204"/>
      <c r="P3" s="213">
        <f>'[1]Water-Meter'!J5</f>
        <v>7351</v>
      </c>
      <c r="Q3" s="203"/>
      <c r="R3" s="322"/>
      <c r="S3" s="453"/>
      <c r="T3" s="796" t="s">
        <v>157</v>
      </c>
      <c r="U3" s="797"/>
      <c r="V3" s="204"/>
      <c r="W3" s="195">
        <v>7717.6</v>
      </c>
      <c r="X3" s="202">
        <f t="shared" ref="X3:X35" si="0">(W3-V3)*200</f>
        <v>1543520</v>
      </c>
      <c r="Y3" s="796" t="s">
        <v>157</v>
      </c>
      <c r="Z3" s="797"/>
      <c r="AA3" s="204"/>
      <c r="AB3" s="213">
        <f>'[1]Water-Meter'!P5</f>
        <v>18541</v>
      </c>
      <c r="AC3" s="218"/>
    </row>
    <row r="4" spans="1:34" ht="19.5" thickBot="1">
      <c r="A4" s="208">
        <f>Gen!C11</f>
        <v>0.57140000000000002</v>
      </c>
      <c r="B4" s="95">
        <f>Gen!B11</f>
        <v>43891</v>
      </c>
      <c r="C4" s="201"/>
      <c r="D4" s="194">
        <f t="shared" ref="D4:D23" si="1">E3</f>
        <v>8546.1</v>
      </c>
      <c r="E4" s="519">
        <v>8550.7000000000007</v>
      </c>
      <c r="F4" s="202">
        <f t="shared" ref="F4:F15" si="2">SUM(E4-D4)*120</f>
        <v>552.00000000004366</v>
      </c>
      <c r="G4" s="196"/>
      <c r="H4" s="241">
        <f>B4</f>
        <v>43891</v>
      </c>
      <c r="I4" s="194"/>
      <c r="J4" s="194">
        <f t="shared" ref="J4:J30" si="3">SUM(K3)</f>
        <v>36423</v>
      </c>
      <c r="K4" s="354">
        <f>'[1]Water-Meter'!G6</f>
        <v>36434</v>
      </c>
      <c r="L4" s="210">
        <f t="shared" ref="L4:L34" si="4">SUM(K4-J4)</f>
        <v>11</v>
      </c>
      <c r="M4" s="451">
        <f>H4</f>
        <v>43891</v>
      </c>
      <c r="N4" s="201"/>
      <c r="O4" s="201">
        <f t="shared" ref="O4:O33" si="5">SUM(P3)</f>
        <v>7351</v>
      </c>
      <c r="P4" s="452">
        <f>'[1]Water-Meter'!J6</f>
        <v>7353</v>
      </c>
      <c r="Q4" s="210">
        <f t="shared" ref="Q4:Q34" si="6">SUM(P4-O4)</f>
        <v>2</v>
      </c>
      <c r="R4" s="215">
        <f t="shared" ref="R4:R20" si="7">SUM(Q4/1615)</f>
        <v>1.238390092879257E-3</v>
      </c>
      <c r="S4" s="216" t="e">
        <f>SUM(F4/[1]Gen!T10)</f>
        <v>#DIV/0!</v>
      </c>
      <c r="T4" s="451">
        <f>M4</f>
        <v>43891</v>
      </c>
      <c r="U4" s="201"/>
      <c r="V4" s="194">
        <f t="shared" ref="V4:V33" si="8">W3</f>
        <v>7717.6</v>
      </c>
      <c r="W4" s="195">
        <v>7722.5</v>
      </c>
      <c r="X4" s="202">
        <f t="shared" si="0"/>
        <v>979.99999999992724</v>
      </c>
      <c r="Y4" s="241">
        <f>T4</f>
        <v>43891</v>
      </c>
      <c r="Z4" s="194"/>
      <c r="AA4" s="194">
        <v>3397.9</v>
      </c>
      <c r="AB4" s="213">
        <f>'[1]Water-Meter'!P6</f>
        <v>18547</v>
      </c>
      <c r="AC4" s="202">
        <f t="shared" ref="AC4:AC34" si="9">SUM(AB4-AA4)</f>
        <v>15149.1</v>
      </c>
    </row>
    <row r="5" spans="1:34" ht="19.5" thickBot="1">
      <c r="A5" s="208">
        <f>Gen!C12</f>
        <v>0.2208</v>
      </c>
      <c r="B5" s="95">
        <f>Gen!B12</f>
        <v>43892</v>
      </c>
      <c r="C5" s="194"/>
      <c r="D5" s="194">
        <f t="shared" si="1"/>
        <v>8550.7000000000007</v>
      </c>
      <c r="E5" s="519">
        <v>8555.1</v>
      </c>
      <c r="F5" s="202">
        <f t="shared" si="2"/>
        <v>527.99999999995634</v>
      </c>
      <c r="G5" s="196"/>
      <c r="H5" s="241">
        <f t="shared" ref="H5:H35" si="10">B5</f>
        <v>43892</v>
      </c>
      <c r="I5" s="194"/>
      <c r="J5" s="194">
        <f t="shared" si="3"/>
        <v>36434</v>
      </c>
      <c r="K5" s="240">
        <f>'[1]Water-Meter'!G7</f>
        <v>36454</v>
      </c>
      <c r="L5" s="210">
        <f t="shared" si="4"/>
        <v>20</v>
      </c>
      <c r="M5" s="241">
        <f t="shared" ref="M5:M35" si="11">H5</f>
        <v>43892</v>
      </c>
      <c r="N5" s="194"/>
      <c r="O5" s="194">
        <f t="shared" si="5"/>
        <v>7353</v>
      </c>
      <c r="P5" s="213">
        <f>'[1]Water-Meter'!J7</f>
        <v>7357</v>
      </c>
      <c r="Q5" s="210">
        <f t="shared" si="6"/>
        <v>4</v>
      </c>
      <c r="R5" s="215">
        <f t="shared" si="7"/>
        <v>2.4767801857585141E-3</v>
      </c>
      <c r="S5" s="216">
        <f>SUM(F5/[1]Gen!T11)</f>
        <v>9.3138119597804964E-2</v>
      </c>
      <c r="T5" s="241">
        <f t="shared" ref="T5:T30" si="12">M5</f>
        <v>43892</v>
      </c>
      <c r="U5" s="194"/>
      <c r="V5" s="194">
        <f t="shared" si="8"/>
        <v>7722.5</v>
      </c>
      <c r="W5" s="195">
        <v>7727.2</v>
      </c>
      <c r="X5" s="202">
        <f t="shared" si="0"/>
        <v>939.99999999996362</v>
      </c>
      <c r="Y5" s="241">
        <f t="shared" ref="Y5:Y30" si="13">T5</f>
        <v>43892</v>
      </c>
      <c r="Z5" s="194"/>
      <c r="AA5" s="194">
        <f t="shared" ref="AA5:AA35" si="14">SUM(AB4)</f>
        <v>18547</v>
      </c>
      <c r="AB5" s="213">
        <f>'[1]Water-Meter'!P7</f>
        <v>18554</v>
      </c>
      <c r="AC5" s="202">
        <f t="shared" si="9"/>
        <v>7</v>
      </c>
    </row>
    <row r="6" spans="1:34" ht="19.5" thickBot="1">
      <c r="A6" s="208">
        <f>Gen!C13</f>
        <v>0.1429</v>
      </c>
      <c r="B6" s="95">
        <f>Gen!B13</f>
        <v>43893</v>
      </c>
      <c r="C6" s="194"/>
      <c r="D6" s="194">
        <f t="shared" si="1"/>
        <v>8555.1</v>
      </c>
      <c r="E6" s="519">
        <v>8559.1</v>
      </c>
      <c r="F6" s="202">
        <f t="shared" si="2"/>
        <v>480</v>
      </c>
      <c r="G6" s="196"/>
      <c r="H6" s="241">
        <f t="shared" si="10"/>
        <v>43893</v>
      </c>
      <c r="I6" s="194"/>
      <c r="J6" s="194">
        <f t="shared" si="3"/>
        <v>36454</v>
      </c>
      <c r="K6" s="240">
        <f>'[1]Water-Meter'!G8</f>
        <v>36472</v>
      </c>
      <c r="L6" s="210">
        <f t="shared" si="4"/>
        <v>18</v>
      </c>
      <c r="M6" s="241">
        <f t="shared" si="11"/>
        <v>43893</v>
      </c>
      <c r="N6" s="194"/>
      <c r="O6" s="194">
        <f t="shared" si="5"/>
        <v>7357</v>
      </c>
      <c r="P6" s="213">
        <f>'[1]Water-Meter'!J8</f>
        <v>7360</v>
      </c>
      <c r="Q6" s="210">
        <f t="shared" si="6"/>
        <v>3</v>
      </c>
      <c r="R6" s="212">
        <f t="shared" si="7"/>
        <v>1.8575851393188853E-3</v>
      </c>
      <c r="S6" s="214">
        <f>SUM(F6/[1]Gen!T12)</f>
        <v>7.793472966390648E-2</v>
      </c>
      <c r="T6" s="241">
        <f t="shared" si="12"/>
        <v>43893</v>
      </c>
      <c r="U6" s="194"/>
      <c r="V6" s="194">
        <f t="shared" si="8"/>
        <v>7727.2</v>
      </c>
      <c r="W6" s="195">
        <v>7730.4</v>
      </c>
      <c r="X6" s="202">
        <f t="shared" si="0"/>
        <v>639.99999999996362</v>
      </c>
      <c r="Y6" s="241">
        <f t="shared" si="13"/>
        <v>43893</v>
      </c>
      <c r="Z6" s="194"/>
      <c r="AA6" s="194">
        <f t="shared" si="14"/>
        <v>18554</v>
      </c>
      <c r="AB6" s="213">
        <f>'[1]Water-Meter'!P8</f>
        <v>18563</v>
      </c>
      <c r="AC6" s="202">
        <f t="shared" si="9"/>
        <v>9</v>
      </c>
    </row>
    <row r="7" spans="1:34" ht="19.5" thickBot="1">
      <c r="A7" s="208">
        <f>Gen!C14</f>
        <v>1</v>
      </c>
      <c r="B7" s="95">
        <f>Gen!B14</f>
        <v>43894</v>
      </c>
      <c r="C7" s="194"/>
      <c r="D7" s="194">
        <f t="shared" si="1"/>
        <v>8559.1</v>
      </c>
      <c r="E7" s="519">
        <v>8563.7000000000007</v>
      </c>
      <c r="F7" s="202">
        <f t="shared" si="2"/>
        <v>552.00000000004366</v>
      </c>
      <c r="G7" s="196"/>
      <c r="H7" s="241">
        <f t="shared" si="10"/>
        <v>43894</v>
      </c>
      <c r="I7" s="194"/>
      <c r="J7" s="194">
        <f t="shared" si="3"/>
        <v>36472</v>
      </c>
      <c r="K7" s="240">
        <f>'[1]Water-Meter'!G9</f>
        <v>36485</v>
      </c>
      <c r="L7" s="210">
        <f t="shared" si="4"/>
        <v>13</v>
      </c>
      <c r="M7" s="241">
        <f t="shared" si="11"/>
        <v>43894</v>
      </c>
      <c r="N7" s="194"/>
      <c r="O7" s="194">
        <f t="shared" si="5"/>
        <v>7360</v>
      </c>
      <c r="P7" s="213">
        <f>'[1]Water-Meter'!J9</f>
        <v>7364</v>
      </c>
      <c r="Q7" s="210">
        <f t="shared" si="6"/>
        <v>4</v>
      </c>
      <c r="R7" s="212">
        <f t="shared" si="7"/>
        <v>2.4767801857585141E-3</v>
      </c>
      <c r="S7" s="214">
        <f>SUM(F7/[1]Gen!T13)</f>
        <v>8.3890577507605424E-2</v>
      </c>
      <c r="T7" s="241">
        <f t="shared" si="12"/>
        <v>43894</v>
      </c>
      <c r="U7" s="194"/>
      <c r="V7" s="194">
        <f t="shared" si="8"/>
        <v>7730.4</v>
      </c>
      <c r="W7" s="195">
        <v>7738.7</v>
      </c>
      <c r="X7" s="202">
        <f t="shared" si="0"/>
        <v>1660.0000000000364</v>
      </c>
      <c r="Y7" s="241">
        <f t="shared" si="13"/>
        <v>43894</v>
      </c>
      <c r="Z7" s="194"/>
      <c r="AA7" s="194">
        <f t="shared" si="14"/>
        <v>18563</v>
      </c>
      <c r="AB7" s="213">
        <f>'[1]Water-Meter'!P9</f>
        <v>18575</v>
      </c>
      <c r="AC7" s="202">
        <f t="shared" si="9"/>
        <v>12</v>
      </c>
    </row>
    <row r="8" spans="1:34" ht="19.5" thickBot="1">
      <c r="A8" s="208">
        <f>Gen!C15</f>
        <v>1</v>
      </c>
      <c r="B8" s="95">
        <f>Gen!B15</f>
        <v>43895</v>
      </c>
      <c r="C8" s="194"/>
      <c r="D8" s="194">
        <f t="shared" si="1"/>
        <v>8563.7000000000007</v>
      </c>
      <c r="E8" s="519">
        <v>8568.4</v>
      </c>
      <c r="F8" s="202">
        <f t="shared" si="2"/>
        <v>563.99999999986903</v>
      </c>
      <c r="G8" s="196"/>
      <c r="H8" s="241">
        <f t="shared" si="10"/>
        <v>43895</v>
      </c>
      <c r="I8" s="194"/>
      <c r="J8" s="194">
        <f t="shared" si="3"/>
        <v>36485</v>
      </c>
      <c r="K8" s="240">
        <f>'[1]Water-Meter'!G10</f>
        <v>36500</v>
      </c>
      <c r="L8" s="210">
        <f t="shared" si="4"/>
        <v>15</v>
      </c>
      <c r="M8" s="241">
        <f t="shared" si="11"/>
        <v>43895</v>
      </c>
      <c r="N8" s="194"/>
      <c r="O8" s="194">
        <f t="shared" si="5"/>
        <v>7364</v>
      </c>
      <c r="P8" s="213">
        <f>'[1]Water-Meter'!J10</f>
        <v>7367</v>
      </c>
      <c r="Q8" s="210">
        <f t="shared" si="6"/>
        <v>3</v>
      </c>
      <c r="R8" s="212">
        <f t="shared" si="7"/>
        <v>1.8575851393188853E-3</v>
      </c>
      <c r="S8" s="214">
        <f>SUM(F8/[1]Gen!T14)</f>
        <v>9.0631528201810863E-2</v>
      </c>
      <c r="T8" s="241">
        <f t="shared" si="12"/>
        <v>43895</v>
      </c>
      <c r="U8" s="194"/>
      <c r="V8" s="194">
        <f t="shared" si="8"/>
        <v>7738.7</v>
      </c>
      <c r="W8" s="195">
        <v>7743.9</v>
      </c>
      <c r="X8" s="202">
        <f t="shared" si="0"/>
        <v>1039.9999999999636</v>
      </c>
      <c r="Y8" s="241">
        <f t="shared" si="13"/>
        <v>43895</v>
      </c>
      <c r="Z8" s="194"/>
      <c r="AA8" s="194">
        <f t="shared" si="14"/>
        <v>18575</v>
      </c>
      <c r="AB8" s="213">
        <f>'[1]Water-Meter'!P10</f>
        <v>18586</v>
      </c>
      <c r="AC8" s="202">
        <f t="shared" si="9"/>
        <v>11</v>
      </c>
    </row>
    <row r="9" spans="1:34" ht="19.5" thickBot="1">
      <c r="A9" s="208">
        <f>Gen!C16</f>
        <v>1</v>
      </c>
      <c r="B9" s="95">
        <f>Gen!B16</f>
        <v>43896</v>
      </c>
      <c r="C9" s="194"/>
      <c r="D9" s="194">
        <f t="shared" si="1"/>
        <v>8568.4</v>
      </c>
      <c r="E9" s="519">
        <v>8573.2000000000007</v>
      </c>
      <c r="F9" s="202">
        <f t="shared" si="2"/>
        <v>576.00000000013097</v>
      </c>
      <c r="G9" s="196"/>
      <c r="H9" s="241">
        <f t="shared" si="10"/>
        <v>43896</v>
      </c>
      <c r="I9" s="194"/>
      <c r="J9" s="194">
        <f t="shared" si="3"/>
        <v>36500</v>
      </c>
      <c r="K9" s="240">
        <f>'[1]Water-Meter'!G11</f>
        <v>36516</v>
      </c>
      <c r="L9" s="210">
        <f t="shared" si="4"/>
        <v>16</v>
      </c>
      <c r="M9" s="241">
        <f t="shared" si="11"/>
        <v>43896</v>
      </c>
      <c r="N9" s="194"/>
      <c r="O9" s="194">
        <f t="shared" si="5"/>
        <v>7367</v>
      </c>
      <c r="P9" s="213">
        <f>'[1]Water-Meter'!J11</f>
        <v>7369</v>
      </c>
      <c r="Q9" s="210">
        <f t="shared" si="6"/>
        <v>2</v>
      </c>
      <c r="R9" s="212">
        <f t="shared" si="7"/>
        <v>1.238390092879257E-3</v>
      </c>
      <c r="S9" s="214">
        <f>SUM(F9/[1]Gen!T15)</f>
        <v>9.6256684492000491E-2</v>
      </c>
      <c r="T9" s="241">
        <f t="shared" si="12"/>
        <v>43896</v>
      </c>
      <c r="U9" s="194"/>
      <c r="V9" s="194">
        <f t="shared" si="8"/>
        <v>7743.9</v>
      </c>
      <c r="W9" s="195">
        <v>7749.7</v>
      </c>
      <c r="X9" s="202">
        <f t="shared" si="0"/>
        <v>1160.0000000000364</v>
      </c>
      <c r="Y9" s="241">
        <f t="shared" si="13"/>
        <v>43896</v>
      </c>
      <c r="Z9" s="194"/>
      <c r="AA9" s="194">
        <f t="shared" si="14"/>
        <v>18586</v>
      </c>
      <c r="AB9" s="213">
        <f>'[1]Water-Meter'!P11</f>
        <v>18593</v>
      </c>
      <c r="AC9" s="202">
        <f t="shared" si="9"/>
        <v>7</v>
      </c>
    </row>
    <row r="10" spans="1:34" ht="19.5" thickBot="1">
      <c r="A10" s="208">
        <f>Gen!C17</f>
        <v>1</v>
      </c>
      <c r="B10" s="95">
        <f>Gen!B17</f>
        <v>43897</v>
      </c>
      <c r="C10" s="194"/>
      <c r="D10" s="194">
        <f t="shared" si="1"/>
        <v>8573.2000000000007</v>
      </c>
      <c r="E10" s="519">
        <v>8579.1</v>
      </c>
      <c r="F10" s="202">
        <f t="shared" si="2"/>
        <v>707.99999999995634</v>
      </c>
      <c r="G10" s="196"/>
      <c r="H10" s="241">
        <f t="shared" si="10"/>
        <v>43897</v>
      </c>
      <c r="I10" s="194"/>
      <c r="J10" s="194">
        <f t="shared" si="3"/>
        <v>36516</v>
      </c>
      <c r="K10" s="240">
        <f>'[1]Water-Meter'!G12</f>
        <v>36529</v>
      </c>
      <c r="L10" s="210">
        <f t="shared" si="4"/>
        <v>13</v>
      </c>
      <c r="M10" s="241">
        <f t="shared" si="11"/>
        <v>43897</v>
      </c>
      <c r="N10" s="194"/>
      <c r="O10" s="194">
        <f t="shared" si="5"/>
        <v>7369</v>
      </c>
      <c r="P10" s="213">
        <f>'[1]Water-Meter'!J12</f>
        <v>7372</v>
      </c>
      <c r="Q10" s="210">
        <f t="shared" si="6"/>
        <v>3</v>
      </c>
      <c r="R10" s="212">
        <f t="shared" si="7"/>
        <v>1.8575851393188853E-3</v>
      </c>
      <c r="S10" s="214">
        <f>SUM(F10/[1]Gen!T16)</f>
        <v>0.11600852039979623</v>
      </c>
      <c r="T10" s="241">
        <f t="shared" si="12"/>
        <v>43897</v>
      </c>
      <c r="U10" s="194"/>
      <c r="V10" s="194">
        <f t="shared" si="8"/>
        <v>7749.7</v>
      </c>
      <c r="W10" s="195">
        <v>7755.5</v>
      </c>
      <c r="X10" s="202">
        <f t="shared" si="0"/>
        <v>1160.0000000000364</v>
      </c>
      <c r="Y10" s="241">
        <f t="shared" si="13"/>
        <v>43897</v>
      </c>
      <c r="Z10" s="194"/>
      <c r="AA10" s="194">
        <f t="shared" si="14"/>
        <v>18593</v>
      </c>
      <c r="AB10" s="213">
        <f>'[1]Water-Meter'!P12</f>
        <v>18606</v>
      </c>
      <c r="AC10" s="202">
        <f t="shared" si="9"/>
        <v>13</v>
      </c>
      <c r="AH10">
        <v>5850</v>
      </c>
    </row>
    <row r="11" spans="1:34" ht="19.5" thickBot="1">
      <c r="A11" s="208">
        <f>Gen!C18</f>
        <v>0.59740000000000004</v>
      </c>
      <c r="B11" s="95">
        <f>Gen!B18</f>
        <v>43898</v>
      </c>
      <c r="C11" s="194"/>
      <c r="D11" s="194">
        <f t="shared" si="1"/>
        <v>8579.1</v>
      </c>
      <c r="E11" s="519">
        <v>8583.7999999999993</v>
      </c>
      <c r="F11" s="202">
        <f t="shared" si="2"/>
        <v>563.99999999986903</v>
      </c>
      <c r="G11" s="196"/>
      <c r="H11" s="241">
        <f t="shared" si="10"/>
        <v>43898</v>
      </c>
      <c r="I11" s="194"/>
      <c r="J11" s="194">
        <f t="shared" si="3"/>
        <v>36529</v>
      </c>
      <c r="K11" s="240">
        <f>'[1]Water-Meter'!G13</f>
        <v>36543</v>
      </c>
      <c r="L11" s="210">
        <f t="shared" si="4"/>
        <v>14</v>
      </c>
      <c r="M11" s="241">
        <f t="shared" si="11"/>
        <v>43898</v>
      </c>
      <c r="N11" s="194"/>
      <c r="O11" s="194">
        <f t="shared" si="5"/>
        <v>7372</v>
      </c>
      <c r="P11" s="213">
        <f>'[1]Water-Meter'!J13</f>
        <v>7374</v>
      </c>
      <c r="Q11" s="210">
        <f t="shared" si="6"/>
        <v>2</v>
      </c>
      <c r="R11" s="212">
        <f t="shared" si="7"/>
        <v>1.238390092879257E-3</v>
      </c>
      <c r="S11" s="214">
        <f>SUM(F11/[1]Gen!T17)</f>
        <v>0.1011477761836207</v>
      </c>
      <c r="T11" s="241">
        <f t="shared" si="12"/>
        <v>43898</v>
      </c>
      <c r="U11" s="194"/>
      <c r="V11" s="194">
        <f t="shared" si="8"/>
        <v>7755.5</v>
      </c>
      <c r="W11" s="195">
        <v>7761.8</v>
      </c>
      <c r="X11" s="202">
        <f t="shared" si="0"/>
        <v>1260.0000000000364</v>
      </c>
      <c r="Y11" s="241">
        <f t="shared" si="13"/>
        <v>43898</v>
      </c>
      <c r="Z11" s="194"/>
      <c r="AA11" s="194">
        <f t="shared" si="14"/>
        <v>18606</v>
      </c>
      <c r="AB11" s="213">
        <f>'[1]Water-Meter'!P13</f>
        <v>18616</v>
      </c>
      <c r="AC11" s="202">
        <f t="shared" si="9"/>
        <v>10</v>
      </c>
    </row>
    <row r="12" spans="1:34" ht="19.5" thickBot="1">
      <c r="A12" s="208">
        <f>Gen!C19</f>
        <v>0.57140000000000002</v>
      </c>
      <c r="B12" s="95">
        <f>Gen!B19</f>
        <v>43899</v>
      </c>
      <c r="C12" s="194"/>
      <c r="D12" s="194">
        <f t="shared" si="1"/>
        <v>8583.7999999999993</v>
      </c>
      <c r="E12" s="519">
        <v>8588.2000000000007</v>
      </c>
      <c r="F12" s="202">
        <f t="shared" si="2"/>
        <v>528.00000000017462</v>
      </c>
      <c r="G12" s="196"/>
      <c r="H12" s="241">
        <f t="shared" si="10"/>
        <v>43899</v>
      </c>
      <c r="I12" s="194"/>
      <c r="J12" s="194">
        <f t="shared" si="3"/>
        <v>36543</v>
      </c>
      <c r="K12" s="240">
        <f>'[1]Water-Meter'!G14</f>
        <v>36560</v>
      </c>
      <c r="L12" s="210">
        <f t="shared" si="4"/>
        <v>17</v>
      </c>
      <c r="M12" s="241">
        <f t="shared" si="11"/>
        <v>43899</v>
      </c>
      <c r="N12" s="194"/>
      <c r="O12" s="194">
        <f t="shared" si="5"/>
        <v>7374</v>
      </c>
      <c r="P12" s="213">
        <f>'[1]Water-Meter'!J14</f>
        <v>7377</v>
      </c>
      <c r="Q12" s="210">
        <f t="shared" si="6"/>
        <v>3</v>
      </c>
      <c r="R12" s="212">
        <f t="shared" si="7"/>
        <v>1.8575851393188853E-3</v>
      </c>
      <c r="S12" s="214">
        <f>SUM(F12/[1]Gen!T18)</f>
        <v>9.544468546640901E-2</v>
      </c>
      <c r="T12" s="241">
        <f t="shared" si="12"/>
        <v>43899</v>
      </c>
      <c r="U12" s="194"/>
      <c r="V12" s="194">
        <f t="shared" si="8"/>
        <v>7761.8</v>
      </c>
      <c r="W12" s="195">
        <v>7767.3</v>
      </c>
      <c r="X12" s="202">
        <f t="shared" si="0"/>
        <v>1100</v>
      </c>
      <c r="Y12" s="241">
        <f t="shared" si="13"/>
        <v>43899</v>
      </c>
      <c r="Z12" s="194"/>
      <c r="AA12" s="194">
        <f t="shared" si="14"/>
        <v>18616</v>
      </c>
      <c r="AB12" s="213">
        <f>'[1]Water-Meter'!P14</f>
        <v>18623</v>
      </c>
      <c r="AC12" s="202"/>
    </row>
    <row r="13" spans="1:34" ht="19.5" thickBot="1">
      <c r="A13" s="208">
        <f>Gen!C20</f>
        <v>0.58440000000000003</v>
      </c>
      <c r="B13" s="95">
        <f>Gen!B20</f>
        <v>43900</v>
      </c>
      <c r="C13" s="194"/>
      <c r="D13" s="194">
        <f t="shared" si="1"/>
        <v>8588.2000000000007</v>
      </c>
      <c r="E13" s="519">
        <v>8592.7999999999993</v>
      </c>
      <c r="F13" s="202">
        <f t="shared" si="2"/>
        <v>551.99999999982538</v>
      </c>
      <c r="G13" s="196"/>
      <c r="H13" s="241">
        <f t="shared" si="10"/>
        <v>43900</v>
      </c>
      <c r="I13" s="194"/>
      <c r="J13" s="194">
        <f t="shared" si="3"/>
        <v>36560</v>
      </c>
      <c r="K13" s="240">
        <f>'[1]Water-Meter'!G15</f>
        <v>36574</v>
      </c>
      <c r="L13" s="210">
        <f t="shared" si="4"/>
        <v>14</v>
      </c>
      <c r="M13" s="241">
        <f t="shared" si="11"/>
        <v>43900</v>
      </c>
      <c r="N13" s="194"/>
      <c r="O13" s="194">
        <f t="shared" si="5"/>
        <v>7377</v>
      </c>
      <c r="P13" s="213">
        <f>'[1]Water-Meter'!J15</f>
        <v>7381</v>
      </c>
      <c r="Q13" s="210">
        <f t="shared" si="6"/>
        <v>4</v>
      </c>
      <c r="R13" s="212">
        <f t="shared" si="7"/>
        <v>2.4767801857585141E-3</v>
      </c>
      <c r="S13" s="214">
        <f>SUM(F13/[1]Gen!T19)</f>
        <v>8.8560885608828077E-2</v>
      </c>
      <c r="T13" s="241">
        <f t="shared" si="12"/>
        <v>43900</v>
      </c>
      <c r="U13" s="194"/>
      <c r="V13" s="194">
        <f t="shared" si="8"/>
        <v>7767.3</v>
      </c>
      <c r="W13" s="195">
        <v>7770.9</v>
      </c>
      <c r="X13" s="202">
        <f t="shared" si="0"/>
        <v>719.99999999989086</v>
      </c>
      <c r="Y13" s="241">
        <f t="shared" si="13"/>
        <v>43900</v>
      </c>
      <c r="Z13" s="194"/>
      <c r="AA13" s="194">
        <f t="shared" si="14"/>
        <v>18623</v>
      </c>
      <c r="AB13" s="213">
        <f>'[1]Water-Meter'!P15</f>
        <v>18634</v>
      </c>
      <c r="AC13" s="202">
        <f>SUM(AB13-AA13)</f>
        <v>11</v>
      </c>
    </row>
    <row r="14" spans="1:34" ht="19.5" thickBot="1">
      <c r="A14" s="208">
        <f>Gen!C21</f>
        <v>3.9E-2</v>
      </c>
      <c r="B14" s="95">
        <f>Gen!B21</f>
        <v>43901</v>
      </c>
      <c r="C14" s="194"/>
      <c r="D14" s="194">
        <f t="shared" si="1"/>
        <v>8592.7999999999993</v>
      </c>
      <c r="E14" s="519">
        <v>8596.9</v>
      </c>
      <c r="F14" s="202">
        <f t="shared" si="2"/>
        <v>492.00000000004366</v>
      </c>
      <c r="G14" s="196"/>
      <c r="H14" s="241">
        <f t="shared" si="10"/>
        <v>43901</v>
      </c>
      <c r="I14" s="194"/>
      <c r="J14" s="194">
        <f t="shared" si="3"/>
        <v>36574</v>
      </c>
      <c r="K14" s="240">
        <f>'[1]Water-Meter'!G16</f>
        <v>36591</v>
      </c>
      <c r="L14" s="210">
        <f t="shared" si="4"/>
        <v>17</v>
      </c>
      <c r="M14" s="241">
        <f t="shared" si="11"/>
        <v>43901</v>
      </c>
      <c r="N14" s="194"/>
      <c r="O14" s="194">
        <f t="shared" si="5"/>
        <v>7381</v>
      </c>
      <c r="P14" s="213">
        <f>'[1]Water-Meter'!J16</f>
        <v>7385</v>
      </c>
      <c r="Q14" s="210">
        <f t="shared" si="6"/>
        <v>4</v>
      </c>
      <c r="R14" s="212">
        <f t="shared" si="7"/>
        <v>2.4767801857585141E-3</v>
      </c>
      <c r="S14" s="214">
        <f>SUM(F14/[1]Gen!T20)</f>
        <v>8.1147946561115569E-2</v>
      </c>
      <c r="T14" s="241">
        <f t="shared" si="12"/>
        <v>43901</v>
      </c>
      <c r="U14" s="194"/>
      <c r="V14" s="194">
        <f t="shared" si="8"/>
        <v>7770.9</v>
      </c>
      <c r="W14" s="195">
        <v>7774.2</v>
      </c>
      <c r="X14" s="202">
        <f t="shared" si="0"/>
        <v>660.00000000003638</v>
      </c>
      <c r="Y14" s="241">
        <f t="shared" si="13"/>
        <v>43901</v>
      </c>
      <c r="Z14" s="194"/>
      <c r="AA14" s="194">
        <f t="shared" si="14"/>
        <v>18634</v>
      </c>
      <c r="AB14" s="213">
        <f>'[1]Water-Meter'!P16</f>
        <v>18643</v>
      </c>
      <c r="AC14" s="202">
        <f t="shared" si="9"/>
        <v>9</v>
      </c>
    </row>
    <row r="15" spans="1:34" ht="19.5" thickBot="1">
      <c r="A15" s="208">
        <f>Gen!C22</f>
        <v>3.9E-2</v>
      </c>
      <c r="B15" s="95">
        <f>Gen!B22</f>
        <v>43902</v>
      </c>
      <c r="C15" s="194"/>
      <c r="D15" s="194">
        <f t="shared" si="1"/>
        <v>8596.9</v>
      </c>
      <c r="E15" s="519">
        <v>8601.2000000000007</v>
      </c>
      <c r="F15" s="202">
        <f t="shared" si="2"/>
        <v>516.00000000013097</v>
      </c>
      <c r="G15" s="196"/>
      <c r="H15" s="241">
        <f t="shared" si="10"/>
        <v>43902</v>
      </c>
      <c r="I15" s="194"/>
      <c r="J15" s="194">
        <f t="shared" si="3"/>
        <v>36591</v>
      </c>
      <c r="K15" s="240">
        <f>'[1]Water-Meter'!G17</f>
        <v>36605</v>
      </c>
      <c r="L15" s="210">
        <f t="shared" si="4"/>
        <v>14</v>
      </c>
      <c r="M15" s="241">
        <f t="shared" si="11"/>
        <v>43902</v>
      </c>
      <c r="N15" s="194"/>
      <c r="O15" s="194">
        <f t="shared" si="5"/>
        <v>7385</v>
      </c>
      <c r="P15" s="213">
        <f>'[1]Water-Meter'!J17</f>
        <v>7388</v>
      </c>
      <c r="Q15" s="210">
        <f t="shared" si="6"/>
        <v>3</v>
      </c>
      <c r="R15" s="212">
        <f t="shared" si="7"/>
        <v>1.8575851393188853E-3</v>
      </c>
      <c r="S15" s="214">
        <f>SUM(F15/[1]Gen!T21)</f>
        <v>8.6475615887402546E-2</v>
      </c>
      <c r="T15" s="241">
        <f t="shared" si="12"/>
        <v>43902</v>
      </c>
      <c r="U15" s="194"/>
      <c r="V15" s="194">
        <f t="shared" si="8"/>
        <v>7774.2</v>
      </c>
      <c r="W15" s="195">
        <v>7776.2</v>
      </c>
      <c r="X15" s="202">
        <f t="shared" si="0"/>
        <v>400</v>
      </c>
      <c r="Y15" s="241">
        <f t="shared" si="13"/>
        <v>43902</v>
      </c>
      <c r="Z15" s="194"/>
      <c r="AA15" s="194">
        <f t="shared" si="14"/>
        <v>18643</v>
      </c>
      <c r="AB15" s="213">
        <f>'[1]Water-Meter'!P17</f>
        <v>18652</v>
      </c>
      <c r="AC15" s="202">
        <f t="shared" si="9"/>
        <v>9</v>
      </c>
    </row>
    <row r="16" spans="1:34" ht="19.5" thickBot="1">
      <c r="A16" s="208">
        <f>Gen!C23</f>
        <v>3.9E-2</v>
      </c>
      <c r="B16" s="95">
        <f>Gen!B23</f>
        <v>43903</v>
      </c>
      <c r="C16" s="194"/>
      <c r="D16" s="194">
        <f t="shared" si="1"/>
        <v>8601.2000000000007</v>
      </c>
      <c r="E16" s="519">
        <v>8605.2000000000007</v>
      </c>
      <c r="F16" s="202">
        <f>SUM(E16-D16)*120</f>
        <v>480</v>
      </c>
      <c r="G16" s="196"/>
      <c r="H16" s="241">
        <f t="shared" si="10"/>
        <v>43903</v>
      </c>
      <c r="I16" s="194"/>
      <c r="J16" s="194">
        <f t="shared" si="3"/>
        <v>36605</v>
      </c>
      <c r="K16" s="240">
        <f>'[1]Water-Meter'!G18</f>
        <v>36619</v>
      </c>
      <c r="L16" s="210">
        <f t="shared" si="4"/>
        <v>14</v>
      </c>
      <c r="M16" s="241">
        <f t="shared" si="11"/>
        <v>43903</v>
      </c>
      <c r="N16" s="194"/>
      <c r="O16" s="194">
        <f t="shared" si="5"/>
        <v>7388</v>
      </c>
      <c r="P16" s="213">
        <f>'[1]Water-Meter'!J18</f>
        <v>7390</v>
      </c>
      <c r="Q16" s="210">
        <f t="shared" si="6"/>
        <v>2</v>
      </c>
      <c r="R16" s="212">
        <f t="shared" si="7"/>
        <v>1.238390092879257E-3</v>
      </c>
      <c r="S16" s="214">
        <f>SUM(F16/[1]Gen!T22)</f>
        <v>8.1869350162033089E-2</v>
      </c>
      <c r="T16" s="241">
        <f t="shared" si="12"/>
        <v>43903</v>
      </c>
      <c r="U16" s="194"/>
      <c r="V16" s="194">
        <f t="shared" si="8"/>
        <v>7776.2</v>
      </c>
      <c r="W16" s="195">
        <v>7778.2</v>
      </c>
      <c r="X16" s="202">
        <f t="shared" si="0"/>
        <v>400</v>
      </c>
      <c r="Y16" s="241">
        <f t="shared" si="13"/>
        <v>43903</v>
      </c>
      <c r="Z16" s="194"/>
      <c r="AA16" s="194">
        <f t="shared" si="14"/>
        <v>18652</v>
      </c>
      <c r="AB16" s="213">
        <f>'[1]Water-Meter'!P18</f>
        <v>18661</v>
      </c>
      <c r="AC16" s="202">
        <f t="shared" si="9"/>
        <v>9</v>
      </c>
    </row>
    <row r="17" spans="1:29" ht="19.5" thickBot="1">
      <c r="A17" s="208">
        <f>Gen!C24</f>
        <v>2.86E-2</v>
      </c>
      <c r="B17" s="95">
        <f>Gen!B24</f>
        <v>43904</v>
      </c>
      <c r="C17" s="194"/>
      <c r="D17" s="194">
        <f t="shared" si="1"/>
        <v>8605.2000000000007</v>
      </c>
      <c r="E17" s="519">
        <v>8608.1</v>
      </c>
      <c r="F17" s="202">
        <f>SUM(E17-D17)*120</f>
        <v>347.99999999995634</v>
      </c>
      <c r="G17" s="196"/>
      <c r="H17" s="241">
        <f t="shared" si="10"/>
        <v>43904</v>
      </c>
      <c r="I17" s="194"/>
      <c r="J17" s="194">
        <f t="shared" si="3"/>
        <v>36619</v>
      </c>
      <c r="K17" s="240">
        <f>'[1]Water-Meter'!G19</f>
        <v>36632</v>
      </c>
      <c r="L17" s="210">
        <f t="shared" si="4"/>
        <v>13</v>
      </c>
      <c r="M17" s="241">
        <f t="shared" si="11"/>
        <v>43904</v>
      </c>
      <c r="N17" s="194"/>
      <c r="O17" s="194">
        <f t="shared" si="5"/>
        <v>7390</v>
      </c>
      <c r="P17" s="213">
        <f>'[1]Water-Meter'!J19</f>
        <v>7393</v>
      </c>
      <c r="Q17" s="210">
        <f t="shared" si="6"/>
        <v>3</v>
      </c>
      <c r="R17" s="212">
        <f t="shared" si="7"/>
        <v>1.8575851393188853E-3</v>
      </c>
      <c r="S17" s="214">
        <f>SUM(F17/[1]Gen!T23)</f>
        <v>6.0839160839153208E-2</v>
      </c>
      <c r="T17" s="241">
        <f t="shared" si="12"/>
        <v>43904</v>
      </c>
      <c r="U17" s="194"/>
      <c r="V17" s="194">
        <f t="shared" si="8"/>
        <v>7778.2</v>
      </c>
      <c r="W17" s="195">
        <v>7780.9</v>
      </c>
      <c r="X17" s="202">
        <f t="shared" si="0"/>
        <v>539.99999999996362</v>
      </c>
      <c r="Y17" s="241">
        <f t="shared" si="13"/>
        <v>43904</v>
      </c>
      <c r="Z17" s="194"/>
      <c r="AA17" s="194">
        <f t="shared" si="14"/>
        <v>18661</v>
      </c>
      <c r="AB17" s="213">
        <f>'[1]Water-Meter'!P19</f>
        <v>18672</v>
      </c>
      <c r="AC17" s="202">
        <f t="shared" si="9"/>
        <v>11</v>
      </c>
    </row>
    <row r="18" spans="1:29" ht="19.5" thickBot="1">
      <c r="A18" s="208">
        <f>Gen!C25</f>
        <v>6.4899999999999999E-2</v>
      </c>
      <c r="B18" s="95">
        <f>Gen!B25</f>
        <v>43905</v>
      </c>
      <c r="C18" s="194"/>
      <c r="D18" s="194">
        <f t="shared" si="1"/>
        <v>8608.1</v>
      </c>
      <c r="E18" s="519">
        <v>8610.4</v>
      </c>
      <c r="F18" s="202">
        <f t="shared" ref="F18:F22" si="15">SUM(E18-D18)*120</f>
        <v>275.99999999991269</v>
      </c>
      <c r="G18" s="196"/>
      <c r="H18" s="241">
        <f t="shared" si="10"/>
        <v>43905</v>
      </c>
      <c r="I18" s="194"/>
      <c r="J18" s="194">
        <f t="shared" si="3"/>
        <v>36632</v>
      </c>
      <c r="K18" s="240">
        <f>'[1]Water-Meter'!G20</f>
        <v>36651</v>
      </c>
      <c r="L18" s="210">
        <f t="shared" si="4"/>
        <v>19</v>
      </c>
      <c r="M18" s="241">
        <f t="shared" si="11"/>
        <v>43905</v>
      </c>
      <c r="N18" s="194"/>
      <c r="O18" s="194">
        <f t="shared" si="5"/>
        <v>7393</v>
      </c>
      <c r="P18" s="213">
        <f>'[1]Water-Meter'!J20</f>
        <v>7396</v>
      </c>
      <c r="Q18" s="210">
        <f t="shared" si="6"/>
        <v>3</v>
      </c>
      <c r="R18" s="212">
        <f t="shared" si="7"/>
        <v>1.8575851393188853E-3</v>
      </c>
      <c r="S18" s="214">
        <f>SUM(F18/[1]Gen!T24)</f>
        <v>4.4552058111366054E-2</v>
      </c>
      <c r="T18" s="241">
        <f t="shared" si="12"/>
        <v>43905</v>
      </c>
      <c r="U18" s="194"/>
      <c r="V18" s="194">
        <f t="shared" si="8"/>
        <v>7780.9</v>
      </c>
      <c r="W18" s="195">
        <v>7783.1</v>
      </c>
      <c r="X18" s="202">
        <f t="shared" si="0"/>
        <v>440.00000000014552</v>
      </c>
      <c r="Y18" s="241">
        <f t="shared" si="13"/>
        <v>43905</v>
      </c>
      <c r="Z18" s="194"/>
      <c r="AA18" s="194">
        <f t="shared" si="14"/>
        <v>18672</v>
      </c>
      <c r="AB18" s="213">
        <f>'[1]Water-Meter'!P20</f>
        <v>18680</v>
      </c>
      <c r="AC18" s="202">
        <f>SUM(AB18-AA18)</f>
        <v>8</v>
      </c>
    </row>
    <row r="19" spans="1:29" ht="19.5" thickBot="1">
      <c r="A19" s="208">
        <f>Gen!C26</f>
        <v>5.1900000000000002E-2</v>
      </c>
      <c r="B19" s="95">
        <f>Gen!B26</f>
        <v>43906</v>
      </c>
      <c r="C19" s="197"/>
      <c r="D19" s="194">
        <f t="shared" si="1"/>
        <v>8610.4</v>
      </c>
      <c r="E19" s="519">
        <v>8612.5</v>
      </c>
      <c r="F19" s="202">
        <f t="shared" si="15"/>
        <v>252.00000000004366</v>
      </c>
      <c r="G19" s="196"/>
      <c r="H19" s="241">
        <f t="shared" si="10"/>
        <v>43906</v>
      </c>
      <c r="I19" s="197"/>
      <c r="J19" s="194">
        <f t="shared" si="3"/>
        <v>36651</v>
      </c>
      <c r="K19" s="240">
        <f>'[1]Water-Meter'!G21</f>
        <v>36668</v>
      </c>
      <c r="L19" s="210">
        <f t="shared" si="4"/>
        <v>17</v>
      </c>
      <c r="M19" s="241">
        <f t="shared" si="11"/>
        <v>43906</v>
      </c>
      <c r="N19" s="197"/>
      <c r="O19" s="194">
        <f t="shared" si="5"/>
        <v>7396</v>
      </c>
      <c r="P19" s="213">
        <f>'[1]Water-Meter'!J21</f>
        <v>7398</v>
      </c>
      <c r="Q19" s="210">
        <f t="shared" si="6"/>
        <v>2</v>
      </c>
      <c r="R19" s="212">
        <f t="shared" si="7"/>
        <v>1.238390092879257E-3</v>
      </c>
      <c r="S19" s="214">
        <f>SUM(F19/[1]Gen!T25)</f>
        <v>3.9069767441867236E-2</v>
      </c>
      <c r="T19" s="241">
        <f t="shared" si="12"/>
        <v>43906</v>
      </c>
      <c r="U19" s="197"/>
      <c r="V19" s="194">
        <f t="shared" si="8"/>
        <v>7783.1</v>
      </c>
      <c r="W19" s="195">
        <v>7785.9</v>
      </c>
      <c r="X19" s="202">
        <f t="shared" si="0"/>
        <v>559.99999999985448</v>
      </c>
      <c r="Y19" s="241">
        <f t="shared" si="13"/>
        <v>43906</v>
      </c>
      <c r="Z19" s="197"/>
      <c r="AA19" s="194">
        <f t="shared" si="14"/>
        <v>18680</v>
      </c>
      <c r="AB19" s="213">
        <f>'[1]Water-Meter'!P21</f>
        <v>18689</v>
      </c>
      <c r="AC19" s="202">
        <f t="shared" si="9"/>
        <v>9</v>
      </c>
    </row>
    <row r="20" spans="1:29" ht="19.5" thickBot="1">
      <c r="A20" s="208">
        <f>Gen!C27</f>
        <v>2.5999999999999999E-2</v>
      </c>
      <c r="B20" s="95">
        <f>Gen!B27</f>
        <v>43907</v>
      </c>
      <c r="C20" s="197"/>
      <c r="D20" s="194">
        <f t="shared" si="1"/>
        <v>8612.5</v>
      </c>
      <c r="E20" s="519">
        <v>8614.4</v>
      </c>
      <c r="F20" s="202">
        <f t="shared" si="15"/>
        <v>227.99999999995634</v>
      </c>
      <c r="G20" s="196"/>
      <c r="H20" s="241">
        <f t="shared" si="10"/>
        <v>43907</v>
      </c>
      <c r="I20" s="197"/>
      <c r="J20" s="194">
        <f t="shared" si="3"/>
        <v>36668</v>
      </c>
      <c r="K20" s="240">
        <f>'[1]Water-Meter'!G22</f>
        <v>36681</v>
      </c>
      <c r="L20" s="210">
        <f t="shared" si="4"/>
        <v>13</v>
      </c>
      <c r="M20" s="241">
        <f t="shared" si="11"/>
        <v>43907</v>
      </c>
      <c r="N20" s="197"/>
      <c r="O20" s="194">
        <f t="shared" si="5"/>
        <v>7398</v>
      </c>
      <c r="P20" s="213">
        <f>'[1]Water-Meter'!J22</f>
        <v>7402</v>
      </c>
      <c r="Q20" s="210">
        <f t="shared" si="6"/>
        <v>4</v>
      </c>
      <c r="R20" s="212">
        <f t="shared" si="7"/>
        <v>2.4767801857585141E-3</v>
      </c>
      <c r="S20" s="214">
        <f>SUM(F20/[1]Gen!T26)</f>
        <v>3.2971800433833166E-2</v>
      </c>
      <c r="T20" s="241">
        <f t="shared" si="12"/>
        <v>43907</v>
      </c>
      <c r="U20" s="197"/>
      <c r="V20" s="194">
        <f t="shared" si="8"/>
        <v>7785.9</v>
      </c>
      <c r="W20" s="195">
        <v>7787.8</v>
      </c>
      <c r="X20" s="202">
        <f t="shared" si="0"/>
        <v>380.00000000010914</v>
      </c>
      <c r="Y20" s="241">
        <f t="shared" si="13"/>
        <v>43907</v>
      </c>
      <c r="Z20" s="197"/>
      <c r="AA20" s="194">
        <f t="shared" si="14"/>
        <v>18689</v>
      </c>
      <c r="AB20" s="213">
        <f>'[1]Water-Meter'!P22</f>
        <v>18701</v>
      </c>
      <c r="AC20" s="202">
        <f t="shared" si="9"/>
        <v>12</v>
      </c>
    </row>
    <row r="21" spans="1:29" ht="19.5" thickBot="1">
      <c r="A21" s="208">
        <f>Gen!C28</f>
        <v>5.1900000000000002E-2</v>
      </c>
      <c r="B21" s="95">
        <f>Gen!B28</f>
        <v>43908</v>
      </c>
      <c r="C21" s="197"/>
      <c r="D21" s="194">
        <f t="shared" si="1"/>
        <v>8614.4</v>
      </c>
      <c r="E21" s="519">
        <v>8616.4</v>
      </c>
      <c r="F21" s="202">
        <f t="shared" si="15"/>
        <v>240</v>
      </c>
      <c r="G21" s="196"/>
      <c r="H21" s="241">
        <f t="shared" si="10"/>
        <v>43908</v>
      </c>
      <c r="I21" s="197"/>
      <c r="J21" s="194">
        <f t="shared" si="3"/>
        <v>36681</v>
      </c>
      <c r="K21" s="240">
        <f>'[1]Water-Meter'!G23</f>
        <v>36696</v>
      </c>
      <c r="L21" s="210">
        <f t="shared" si="4"/>
        <v>15</v>
      </c>
      <c r="M21" s="241">
        <f t="shared" si="11"/>
        <v>43908</v>
      </c>
      <c r="N21" s="197"/>
      <c r="O21" s="194">
        <f t="shared" si="5"/>
        <v>7402</v>
      </c>
      <c r="P21" s="213">
        <f>'[1]Water-Meter'!J23</f>
        <v>7404</v>
      </c>
      <c r="Q21" s="210">
        <f t="shared" si="6"/>
        <v>2</v>
      </c>
      <c r="R21" s="212">
        <f t="shared" ref="R21:R35" si="16">SUM(Q21/1615)</f>
        <v>1.238390092879257E-3</v>
      </c>
      <c r="S21" s="214">
        <f>SUM(F21/[1]Gen!T28)</f>
        <v>4.5653414494959105E-2</v>
      </c>
      <c r="T21" s="241">
        <f t="shared" si="12"/>
        <v>43908</v>
      </c>
      <c r="U21" s="197"/>
      <c r="V21" s="194">
        <f t="shared" si="8"/>
        <v>7787.8</v>
      </c>
      <c r="W21" s="195">
        <v>7789.1</v>
      </c>
      <c r="X21" s="202">
        <f t="shared" si="0"/>
        <v>260.00000000003638</v>
      </c>
      <c r="Y21" s="241">
        <f t="shared" si="13"/>
        <v>43908</v>
      </c>
      <c r="Z21" s="197"/>
      <c r="AA21" s="194">
        <f t="shared" si="14"/>
        <v>18701</v>
      </c>
      <c r="AB21" s="213">
        <f>'[1]Water-Meter'!P23</f>
        <v>18712</v>
      </c>
      <c r="AC21" s="202">
        <f t="shared" si="9"/>
        <v>11</v>
      </c>
    </row>
    <row r="22" spans="1:29" ht="19.5" thickBot="1">
      <c r="A22" s="208">
        <f>Gen!C29</f>
        <v>0.02</v>
      </c>
      <c r="B22" s="95">
        <f>Gen!B29</f>
        <v>43909</v>
      </c>
      <c r="C22" s="194"/>
      <c r="D22" s="194">
        <f t="shared" si="1"/>
        <v>8616.4</v>
      </c>
      <c r="E22" s="519">
        <v>8618.2999999999993</v>
      </c>
      <c r="F22" s="202">
        <f t="shared" si="15"/>
        <v>227.99999999995634</v>
      </c>
      <c r="G22" s="196"/>
      <c r="H22" s="241">
        <f t="shared" si="10"/>
        <v>43909</v>
      </c>
      <c r="I22" s="194"/>
      <c r="J22" s="194">
        <f t="shared" si="3"/>
        <v>36696</v>
      </c>
      <c r="K22" s="240">
        <f>'[1]Water-Meter'!G24</f>
        <v>36708</v>
      </c>
      <c r="L22" s="210">
        <f t="shared" si="4"/>
        <v>12</v>
      </c>
      <c r="M22" s="241">
        <f t="shared" si="11"/>
        <v>43909</v>
      </c>
      <c r="N22" s="194"/>
      <c r="O22" s="194">
        <f t="shared" si="5"/>
        <v>7404</v>
      </c>
      <c r="P22" s="213">
        <f>'[1]Water-Meter'!J24</f>
        <v>7408</v>
      </c>
      <c r="Q22" s="210">
        <f t="shared" si="6"/>
        <v>4</v>
      </c>
      <c r="R22" s="212">
        <f t="shared" si="16"/>
        <v>2.4767801857585141E-3</v>
      </c>
      <c r="S22" s="214">
        <f>SUM(F22/[1]Gen!T29)</f>
        <v>4.8603709230431967E-2</v>
      </c>
      <c r="T22" s="241">
        <f t="shared" si="12"/>
        <v>43909</v>
      </c>
      <c r="U22" s="194"/>
      <c r="V22" s="194">
        <f t="shared" si="8"/>
        <v>7789.1</v>
      </c>
      <c r="W22" s="195">
        <v>7790.5</v>
      </c>
      <c r="X22" s="202">
        <f t="shared" si="0"/>
        <v>279.99999999992724</v>
      </c>
      <c r="Y22" s="241">
        <f t="shared" si="13"/>
        <v>43909</v>
      </c>
      <c r="Z22" s="194"/>
      <c r="AA22" s="194">
        <f t="shared" si="14"/>
        <v>18712</v>
      </c>
      <c r="AB22" s="213">
        <f>'[1]Water-Meter'!P24</f>
        <v>18719</v>
      </c>
      <c r="AC22" s="202">
        <f t="shared" si="9"/>
        <v>7</v>
      </c>
    </row>
    <row r="23" spans="1:29" ht="19.5" thickBot="1">
      <c r="A23" s="208">
        <f>Gen!C30</f>
        <v>0.02</v>
      </c>
      <c r="B23" s="95">
        <f>Gen!B30</f>
        <v>43910</v>
      </c>
      <c r="C23" s="197"/>
      <c r="D23" s="194">
        <f t="shared" si="1"/>
        <v>8618.2999999999993</v>
      </c>
      <c r="E23" s="519">
        <v>8620.4</v>
      </c>
      <c r="F23" s="202">
        <f t="shared" ref="F23:F34" si="17">SUM(E23-D23)*120</f>
        <v>252.00000000004366</v>
      </c>
      <c r="G23" s="196"/>
      <c r="H23" s="241">
        <f t="shared" si="10"/>
        <v>43910</v>
      </c>
      <c r="I23" s="197"/>
      <c r="J23" s="194">
        <f t="shared" si="3"/>
        <v>36708</v>
      </c>
      <c r="K23" s="240">
        <f>'[1]Water-Meter'!G25</f>
        <v>36724</v>
      </c>
      <c r="L23" s="210">
        <f t="shared" si="4"/>
        <v>16</v>
      </c>
      <c r="M23" s="241">
        <f t="shared" si="11"/>
        <v>43910</v>
      </c>
      <c r="N23" s="197"/>
      <c r="O23" s="194">
        <f t="shared" si="5"/>
        <v>7408</v>
      </c>
      <c r="P23" s="213">
        <f>'[1]Water-Meter'!J25</f>
        <v>7412</v>
      </c>
      <c r="Q23" s="210">
        <f t="shared" si="6"/>
        <v>4</v>
      </c>
      <c r="R23" s="212">
        <f t="shared" si="16"/>
        <v>2.4767801857585141E-3</v>
      </c>
      <c r="S23" s="214">
        <f>SUM(F23/[1]Gen!T30)</f>
        <v>4.4117647058831172E-2</v>
      </c>
      <c r="T23" s="241">
        <f t="shared" si="12"/>
        <v>43910</v>
      </c>
      <c r="U23" s="197"/>
      <c r="V23" s="194">
        <f t="shared" si="8"/>
        <v>7790.5</v>
      </c>
      <c r="W23" s="195">
        <v>7792.1</v>
      </c>
      <c r="X23" s="202">
        <f t="shared" si="0"/>
        <v>320.00000000007276</v>
      </c>
      <c r="Y23" s="241">
        <f t="shared" si="13"/>
        <v>43910</v>
      </c>
      <c r="Z23" s="197"/>
      <c r="AA23" s="194">
        <f t="shared" si="14"/>
        <v>18719</v>
      </c>
      <c r="AB23" s="213">
        <f>'[1]Water-Meter'!P25</f>
        <v>18728</v>
      </c>
      <c r="AC23" s="202">
        <f t="shared" si="9"/>
        <v>9</v>
      </c>
    </row>
    <row r="24" spans="1:29" ht="19.5" thickBot="1">
      <c r="A24" s="208">
        <f>Gen!C31</f>
        <v>0</v>
      </c>
      <c r="B24" s="95">
        <f>Gen!B31</f>
        <v>43911</v>
      </c>
      <c r="C24" s="197"/>
      <c r="D24" s="194">
        <f t="shared" ref="D24:D35" si="18">SUM(E23)</f>
        <v>8620.4</v>
      </c>
      <c r="E24" s="519">
        <v>8622.4</v>
      </c>
      <c r="F24" s="202">
        <f t="shared" si="17"/>
        <v>240</v>
      </c>
      <c r="G24" s="196"/>
      <c r="H24" s="241">
        <f t="shared" si="10"/>
        <v>43911</v>
      </c>
      <c r="I24" s="197"/>
      <c r="J24" s="194">
        <f t="shared" si="3"/>
        <v>36724</v>
      </c>
      <c r="K24" s="240">
        <f>'[1]Water-Meter'!G26</f>
        <v>36740</v>
      </c>
      <c r="L24" s="210">
        <f t="shared" si="4"/>
        <v>16</v>
      </c>
      <c r="M24" s="241">
        <f t="shared" si="11"/>
        <v>43911</v>
      </c>
      <c r="N24" s="197"/>
      <c r="O24" s="194">
        <f t="shared" si="5"/>
        <v>7412</v>
      </c>
      <c r="P24" s="213">
        <f>'[1]Water-Meter'!J26</f>
        <v>7415</v>
      </c>
      <c r="Q24" s="210">
        <f t="shared" si="6"/>
        <v>3</v>
      </c>
      <c r="R24" s="212">
        <f t="shared" si="16"/>
        <v>1.8575851393188853E-3</v>
      </c>
      <c r="S24" s="214">
        <f>SUM(F24/[1]Gen!T31)</f>
        <v>4.0397239521966E-2</v>
      </c>
      <c r="T24" s="241">
        <v>5835.7</v>
      </c>
      <c r="U24" s="197"/>
      <c r="V24" s="194">
        <f t="shared" si="8"/>
        <v>7792.1</v>
      </c>
      <c r="W24" s="195">
        <v>7793.3</v>
      </c>
      <c r="X24" s="202">
        <f t="shared" si="0"/>
        <v>239.99999999996362</v>
      </c>
      <c r="Y24" s="241">
        <f t="shared" si="13"/>
        <v>5835.7</v>
      </c>
      <c r="Z24" s="197"/>
      <c r="AA24" s="194">
        <f t="shared" si="14"/>
        <v>18728</v>
      </c>
      <c r="AB24" s="213">
        <f>'[1]Water-Meter'!P26</f>
        <v>18737</v>
      </c>
      <c r="AC24" s="202">
        <f t="shared" si="9"/>
        <v>9</v>
      </c>
    </row>
    <row r="25" spans="1:29" ht="19.5" thickBot="1">
      <c r="A25" s="208">
        <f>Gen!C32</f>
        <v>0</v>
      </c>
      <c r="B25" s="95">
        <f>Gen!B32</f>
        <v>43912</v>
      </c>
      <c r="C25" s="197"/>
      <c r="D25" s="194">
        <f t="shared" si="18"/>
        <v>8622.4</v>
      </c>
      <c r="E25" s="519">
        <v>8623.7999999999993</v>
      </c>
      <c r="F25" s="202">
        <f t="shared" si="17"/>
        <v>167.99999999995634</v>
      </c>
      <c r="G25" s="196"/>
      <c r="H25" s="241">
        <f t="shared" si="10"/>
        <v>43912</v>
      </c>
      <c r="I25" s="197"/>
      <c r="J25" s="194">
        <f t="shared" si="3"/>
        <v>36740</v>
      </c>
      <c r="K25" s="240">
        <f>'[1]Water-Meter'!G27</f>
        <v>36754</v>
      </c>
      <c r="L25" s="210">
        <f t="shared" si="4"/>
        <v>14</v>
      </c>
      <c r="M25" s="241">
        <f t="shared" si="11"/>
        <v>43912</v>
      </c>
      <c r="N25" s="197"/>
      <c r="O25" s="194">
        <f t="shared" si="5"/>
        <v>7415</v>
      </c>
      <c r="P25" s="213">
        <f>'[1]Water-Meter'!J27</f>
        <v>7418</v>
      </c>
      <c r="Q25" s="210">
        <f t="shared" si="6"/>
        <v>3</v>
      </c>
      <c r="R25" s="212">
        <f t="shared" si="16"/>
        <v>1.8575851393188853E-3</v>
      </c>
      <c r="S25" s="214">
        <f>SUM(F25/[1]Gen!T32)</f>
        <v>3.1111111111103026E-2</v>
      </c>
      <c r="T25" s="241">
        <f t="shared" si="12"/>
        <v>43912</v>
      </c>
      <c r="U25" s="197"/>
      <c r="V25" s="194">
        <f t="shared" si="8"/>
        <v>7793.3</v>
      </c>
      <c r="W25" s="195">
        <v>7793.7</v>
      </c>
      <c r="X25" s="202">
        <f t="shared" si="0"/>
        <v>79.99999999992724</v>
      </c>
      <c r="Y25" s="241">
        <f t="shared" si="13"/>
        <v>43912</v>
      </c>
      <c r="Z25" s="197"/>
      <c r="AA25" s="194">
        <f t="shared" si="14"/>
        <v>18737</v>
      </c>
      <c r="AB25" s="213">
        <f>'[1]Water-Meter'!P27</f>
        <v>18746</v>
      </c>
      <c r="AC25" s="202">
        <f t="shared" si="9"/>
        <v>9</v>
      </c>
    </row>
    <row r="26" spans="1:29" ht="19.5" thickBot="1">
      <c r="A26" s="208">
        <f>Gen!C33</f>
        <v>0</v>
      </c>
      <c r="B26" s="95">
        <f>Gen!B33</f>
        <v>43913</v>
      </c>
      <c r="C26" s="197"/>
      <c r="D26" s="194">
        <f t="shared" si="18"/>
        <v>8623.7999999999993</v>
      </c>
      <c r="E26" s="519">
        <v>8625.6</v>
      </c>
      <c r="F26" s="202">
        <f t="shared" si="17"/>
        <v>216.00000000013097</v>
      </c>
      <c r="G26" s="196"/>
      <c r="H26" s="241">
        <f t="shared" si="10"/>
        <v>43913</v>
      </c>
      <c r="I26" s="197"/>
      <c r="J26" s="194">
        <f t="shared" si="3"/>
        <v>36754</v>
      </c>
      <c r="K26" s="240">
        <f>'[1]Water-Meter'!G28</f>
        <v>36767</v>
      </c>
      <c r="L26" s="210">
        <f t="shared" si="4"/>
        <v>13</v>
      </c>
      <c r="M26" s="241">
        <f t="shared" si="11"/>
        <v>43913</v>
      </c>
      <c r="N26" s="197"/>
      <c r="O26" s="194">
        <f t="shared" si="5"/>
        <v>7418</v>
      </c>
      <c r="P26" s="213">
        <f>'[1]Water-Meter'!J28</f>
        <v>7421</v>
      </c>
      <c r="Q26" s="210">
        <f t="shared" si="6"/>
        <v>3</v>
      </c>
      <c r="R26" s="212">
        <f t="shared" si="16"/>
        <v>1.8575851393188853E-3</v>
      </c>
      <c r="S26" s="214">
        <f>SUM(F26/[1]Gen!T33)</f>
        <v>4.021597467885514E-2</v>
      </c>
      <c r="T26" s="241">
        <f t="shared" si="12"/>
        <v>43913</v>
      </c>
      <c r="U26" s="197"/>
      <c r="V26" s="194">
        <f t="shared" si="8"/>
        <v>7793.7</v>
      </c>
      <c r="W26" s="195">
        <v>7794.5</v>
      </c>
      <c r="X26" s="202">
        <f t="shared" si="0"/>
        <v>160.00000000003638</v>
      </c>
      <c r="Y26" s="241">
        <f t="shared" si="13"/>
        <v>43913</v>
      </c>
      <c r="Z26" s="197"/>
      <c r="AA26" s="194">
        <f t="shared" si="14"/>
        <v>18746</v>
      </c>
      <c r="AB26" s="213">
        <f>'[1]Water-Meter'!P28</f>
        <v>18754</v>
      </c>
      <c r="AC26" s="202">
        <f t="shared" si="9"/>
        <v>8</v>
      </c>
    </row>
    <row r="27" spans="1:29" ht="19.5" thickBot="1">
      <c r="A27" s="208">
        <f>Gen!C34</f>
        <v>0.02</v>
      </c>
      <c r="B27" s="95">
        <f>Gen!B34</f>
        <v>43914</v>
      </c>
      <c r="C27" s="197"/>
      <c r="D27" s="194">
        <f t="shared" si="18"/>
        <v>8625.6</v>
      </c>
      <c r="E27" s="519">
        <v>8627.2000000000007</v>
      </c>
      <c r="F27" s="202">
        <f t="shared" si="17"/>
        <v>192.00000000004366</v>
      </c>
      <c r="G27" s="196"/>
      <c r="H27" s="241">
        <f t="shared" si="10"/>
        <v>43914</v>
      </c>
      <c r="I27" s="197"/>
      <c r="J27" s="194">
        <f t="shared" si="3"/>
        <v>36767</v>
      </c>
      <c r="K27" s="240">
        <f>'[1]Water-Meter'!G29</f>
        <v>36779</v>
      </c>
      <c r="L27" s="210">
        <f t="shared" si="4"/>
        <v>12</v>
      </c>
      <c r="M27" s="241">
        <f t="shared" si="11"/>
        <v>43914</v>
      </c>
      <c r="N27" s="197"/>
      <c r="O27" s="194">
        <f t="shared" si="5"/>
        <v>7421</v>
      </c>
      <c r="P27" s="213">
        <f>'[1]Water-Meter'!J29</f>
        <v>7423</v>
      </c>
      <c r="Q27" s="210">
        <f t="shared" si="6"/>
        <v>2</v>
      </c>
      <c r="R27" s="212">
        <f t="shared" si="16"/>
        <v>1.238390092879257E-3</v>
      </c>
      <c r="S27" s="214">
        <f>SUM(F27/[1]Gen!T34)</f>
        <v>3.6253776435053557E-2</v>
      </c>
      <c r="T27" s="241">
        <f t="shared" si="12"/>
        <v>43914</v>
      </c>
      <c r="U27" s="197"/>
      <c r="V27" s="194">
        <f t="shared" si="8"/>
        <v>7794.5</v>
      </c>
      <c r="W27" s="195">
        <v>7795.3</v>
      </c>
      <c r="X27" s="202">
        <f t="shared" si="0"/>
        <v>160.00000000003638</v>
      </c>
      <c r="Y27" s="241">
        <f t="shared" si="13"/>
        <v>43914</v>
      </c>
      <c r="Z27" s="197"/>
      <c r="AA27" s="194">
        <f t="shared" si="14"/>
        <v>18754</v>
      </c>
      <c r="AB27" s="213">
        <f>'[1]Water-Meter'!P29</f>
        <v>18763</v>
      </c>
      <c r="AC27" s="202">
        <f t="shared" si="9"/>
        <v>9</v>
      </c>
    </row>
    <row r="28" spans="1:29" ht="19.5" thickBot="1">
      <c r="A28" s="208">
        <f>Gen!C35</f>
        <v>0.02</v>
      </c>
      <c r="B28" s="95">
        <f>Gen!B35</f>
        <v>43915</v>
      </c>
      <c r="C28" s="197"/>
      <c r="D28" s="194">
        <f t="shared" si="18"/>
        <v>8627.2000000000007</v>
      </c>
      <c r="E28" s="519">
        <v>8628.7999999999993</v>
      </c>
      <c r="F28" s="202">
        <f t="shared" si="17"/>
        <v>191.99999999982538</v>
      </c>
      <c r="G28" s="196"/>
      <c r="H28" s="241">
        <f t="shared" si="10"/>
        <v>43915</v>
      </c>
      <c r="I28" s="197"/>
      <c r="J28" s="194">
        <f t="shared" si="3"/>
        <v>36779</v>
      </c>
      <c r="K28" s="240">
        <f>'[1]Water-Meter'!G30</f>
        <v>36792</v>
      </c>
      <c r="L28" s="210">
        <f t="shared" si="4"/>
        <v>13</v>
      </c>
      <c r="M28" s="241">
        <f t="shared" si="11"/>
        <v>43915</v>
      </c>
      <c r="N28" s="197"/>
      <c r="O28" s="194">
        <f t="shared" si="5"/>
        <v>7423</v>
      </c>
      <c r="P28" s="213">
        <f>'[1]Water-Meter'!J30</f>
        <v>7426</v>
      </c>
      <c r="Q28" s="210">
        <f t="shared" si="6"/>
        <v>3</v>
      </c>
      <c r="R28" s="212">
        <f t="shared" si="16"/>
        <v>1.8575851393188853E-3</v>
      </c>
      <c r="S28" s="214">
        <f>SUM(F28/[1]Gen!T35)</f>
        <v>3.6774564259686914E-2</v>
      </c>
      <c r="T28" s="241">
        <f t="shared" si="12"/>
        <v>43915</v>
      </c>
      <c r="U28" s="197"/>
      <c r="V28" s="194">
        <f t="shared" si="8"/>
        <v>7795.3</v>
      </c>
      <c r="W28" s="195">
        <v>7795.7</v>
      </c>
      <c r="X28" s="202">
        <f t="shared" si="0"/>
        <v>79.99999999992724</v>
      </c>
      <c r="Y28" s="241">
        <f t="shared" si="13"/>
        <v>43915</v>
      </c>
      <c r="Z28" s="197"/>
      <c r="AA28" s="194">
        <f t="shared" si="14"/>
        <v>18763</v>
      </c>
      <c r="AB28" s="213">
        <f>'[1]Water-Meter'!P30</f>
        <v>18773</v>
      </c>
      <c r="AC28" s="202">
        <f t="shared" si="9"/>
        <v>10</v>
      </c>
    </row>
    <row r="29" spans="1:29" ht="19.5" thickBot="1">
      <c r="A29" s="208">
        <f>Gen!C36</f>
        <v>0.02</v>
      </c>
      <c r="B29" s="95">
        <f>Gen!B36</f>
        <v>43916</v>
      </c>
      <c r="C29" s="197"/>
      <c r="D29" s="194">
        <f t="shared" si="18"/>
        <v>8628.7999999999993</v>
      </c>
      <c r="E29" s="519">
        <v>8630.2000000000007</v>
      </c>
      <c r="F29" s="202">
        <f t="shared" si="17"/>
        <v>168.00000000017462</v>
      </c>
      <c r="G29" s="196"/>
      <c r="H29" s="241">
        <f t="shared" si="10"/>
        <v>43916</v>
      </c>
      <c r="I29" s="197"/>
      <c r="J29" s="194">
        <f t="shared" si="3"/>
        <v>36792</v>
      </c>
      <c r="K29" s="240">
        <f>'[1]Water-Meter'!G31</f>
        <v>36809</v>
      </c>
      <c r="L29" s="210">
        <f t="shared" si="4"/>
        <v>17</v>
      </c>
      <c r="M29" s="241">
        <f t="shared" si="11"/>
        <v>43916</v>
      </c>
      <c r="N29" s="197"/>
      <c r="O29" s="194">
        <f t="shared" si="5"/>
        <v>7426</v>
      </c>
      <c r="P29" s="213">
        <f>'[1]Water-Meter'!J31</f>
        <v>7428</v>
      </c>
      <c r="Q29" s="210">
        <f t="shared" si="6"/>
        <v>2</v>
      </c>
      <c r="R29" s="212">
        <f t="shared" si="16"/>
        <v>1.238390092879257E-3</v>
      </c>
      <c r="S29" s="214">
        <f>SUM(F29/[1]Gen!T36)</f>
        <v>2.9655781112122616E-2</v>
      </c>
      <c r="T29" s="241">
        <f t="shared" si="12"/>
        <v>43916</v>
      </c>
      <c r="U29" s="197"/>
      <c r="V29" s="194">
        <f t="shared" si="8"/>
        <v>7795.7</v>
      </c>
      <c r="W29" s="195">
        <v>7796.5</v>
      </c>
      <c r="X29" s="202">
        <f t="shared" si="0"/>
        <v>160.00000000003638</v>
      </c>
      <c r="Y29" s="241">
        <f t="shared" si="13"/>
        <v>43916</v>
      </c>
      <c r="Z29" s="197"/>
      <c r="AA29" s="194">
        <f t="shared" si="14"/>
        <v>18773</v>
      </c>
      <c r="AB29" s="213">
        <f>'[1]Water-Meter'!P31</f>
        <v>18782</v>
      </c>
      <c r="AC29" s="202">
        <f t="shared" si="9"/>
        <v>9</v>
      </c>
    </row>
    <row r="30" spans="1:29" ht="19.5" thickBot="1">
      <c r="A30" s="208">
        <f>Gen!C37</f>
        <v>0</v>
      </c>
      <c r="B30" s="95">
        <f>Gen!B37</f>
        <v>43917</v>
      </c>
      <c r="C30" s="197"/>
      <c r="D30" s="194">
        <f t="shared" si="18"/>
        <v>8630.2000000000007</v>
      </c>
      <c r="E30" s="519">
        <v>8631.7000000000007</v>
      </c>
      <c r="F30" s="202">
        <f t="shared" si="17"/>
        <v>180</v>
      </c>
      <c r="G30" s="196"/>
      <c r="H30" s="241">
        <f t="shared" si="10"/>
        <v>43917</v>
      </c>
      <c r="I30" s="197"/>
      <c r="J30" s="194">
        <f t="shared" si="3"/>
        <v>36809</v>
      </c>
      <c r="K30" s="240">
        <f>'[1]Water-Meter'!G32</f>
        <v>36825</v>
      </c>
      <c r="L30" s="210">
        <f t="shared" si="4"/>
        <v>16</v>
      </c>
      <c r="M30" s="241">
        <f t="shared" si="11"/>
        <v>43917</v>
      </c>
      <c r="N30" s="197"/>
      <c r="O30" s="194">
        <f t="shared" si="5"/>
        <v>7428</v>
      </c>
      <c r="P30" s="213">
        <f>'[1]Water-Meter'!J32</f>
        <v>7432</v>
      </c>
      <c r="Q30" s="210">
        <f t="shared" si="6"/>
        <v>4</v>
      </c>
      <c r="R30" s="212">
        <f t="shared" si="16"/>
        <v>2.4767801857585141E-3</v>
      </c>
      <c r="S30" s="214">
        <f>SUM(F30/[1]Gen!T37)</f>
        <v>2.9464724177443117E-2</v>
      </c>
      <c r="T30" s="241">
        <f t="shared" si="12"/>
        <v>43917</v>
      </c>
      <c r="U30" s="197"/>
      <c r="V30" s="194">
        <f t="shared" si="8"/>
        <v>7796.5</v>
      </c>
      <c r="W30" s="195">
        <v>7797.5</v>
      </c>
      <c r="X30" s="202">
        <f t="shared" si="0"/>
        <v>200</v>
      </c>
      <c r="Y30" s="241">
        <f t="shared" si="13"/>
        <v>43917</v>
      </c>
      <c r="Z30" s="197"/>
      <c r="AA30" s="194">
        <f t="shared" si="14"/>
        <v>18782</v>
      </c>
      <c r="AB30" s="213">
        <f>'[1]Water-Meter'!P32</f>
        <v>18790</v>
      </c>
      <c r="AC30" s="202">
        <f t="shared" si="9"/>
        <v>8</v>
      </c>
    </row>
    <row r="31" spans="1:29" ht="19.5" thickBot="1">
      <c r="A31" s="208">
        <f>Gen!C38</f>
        <v>0</v>
      </c>
      <c r="B31" s="95">
        <f>Gen!B38</f>
        <v>43918</v>
      </c>
      <c r="C31" s="197"/>
      <c r="D31" s="194">
        <f t="shared" si="18"/>
        <v>8631.7000000000007</v>
      </c>
      <c r="E31" s="519">
        <v>8632.9</v>
      </c>
      <c r="F31" s="202">
        <f t="shared" si="17"/>
        <v>143.99999999986903</v>
      </c>
      <c r="G31" s="196"/>
      <c r="H31" s="241">
        <f t="shared" si="10"/>
        <v>43918</v>
      </c>
      <c r="I31" s="197"/>
      <c r="J31" s="194">
        <f t="shared" ref="J31:J35" si="19">SUM(K30)</f>
        <v>36825</v>
      </c>
      <c r="K31" s="240" t="e">
        <f>'[1]Water-Meter'!G33</f>
        <v>#REF!</v>
      </c>
      <c r="L31" s="210" t="e">
        <f t="shared" si="4"/>
        <v>#REF!</v>
      </c>
      <c r="M31" s="241">
        <f t="shared" si="11"/>
        <v>43918</v>
      </c>
      <c r="N31" s="197"/>
      <c r="O31" s="194">
        <f t="shared" si="5"/>
        <v>7432</v>
      </c>
      <c r="P31" s="213" t="e">
        <f>'[1]Water-Meter'!J33</f>
        <v>#REF!</v>
      </c>
      <c r="Q31" s="210" t="e">
        <f t="shared" si="6"/>
        <v>#REF!</v>
      </c>
      <c r="R31" s="212" t="e">
        <f t="shared" si="16"/>
        <v>#REF!</v>
      </c>
      <c r="S31" s="214" t="e">
        <f>SUM(F31/[1]Gen!T38)</f>
        <v>#DIV/0!</v>
      </c>
      <c r="T31" s="241">
        <f>M31</f>
        <v>43918</v>
      </c>
      <c r="U31" s="197"/>
      <c r="V31" s="194">
        <f t="shared" si="8"/>
        <v>7797.5</v>
      </c>
      <c r="W31" s="195">
        <v>7798.3</v>
      </c>
      <c r="X31" s="202">
        <f t="shared" si="0"/>
        <v>160.00000000003638</v>
      </c>
      <c r="Y31" s="241">
        <f>T31</f>
        <v>43918</v>
      </c>
      <c r="Z31" s="197"/>
      <c r="AA31" s="194">
        <f t="shared" si="14"/>
        <v>18790</v>
      </c>
      <c r="AB31" s="213" t="e">
        <f>'[1]Water-Meter'!P33</f>
        <v>#REF!</v>
      </c>
      <c r="AC31" s="202" t="e">
        <f t="shared" si="9"/>
        <v>#REF!</v>
      </c>
    </row>
    <row r="32" spans="1:29" ht="19.5" thickBot="1">
      <c r="A32" s="208">
        <f>Gen!C39</f>
        <v>0</v>
      </c>
      <c r="B32" s="95">
        <f>Gen!B39</f>
        <v>43919</v>
      </c>
      <c r="C32" s="197"/>
      <c r="D32" s="194">
        <f t="shared" si="18"/>
        <v>8632.9</v>
      </c>
      <c r="E32" s="519">
        <v>8634.2999999999993</v>
      </c>
      <c r="F32" s="202">
        <f t="shared" si="17"/>
        <v>167.99999999995634</v>
      </c>
      <c r="G32" s="196"/>
      <c r="H32" s="241">
        <f t="shared" si="10"/>
        <v>43919</v>
      </c>
      <c r="I32" s="197"/>
      <c r="J32" s="194" t="e">
        <f t="shared" si="19"/>
        <v>#REF!</v>
      </c>
      <c r="K32" s="240" t="e">
        <f>'[1]Water-Meter'!G34</f>
        <v>#REF!</v>
      </c>
      <c r="L32" s="210" t="e">
        <f t="shared" si="4"/>
        <v>#REF!</v>
      </c>
      <c r="M32" s="241">
        <f t="shared" si="11"/>
        <v>43919</v>
      </c>
      <c r="N32" s="197"/>
      <c r="O32" s="194" t="e">
        <f t="shared" si="5"/>
        <v>#REF!</v>
      </c>
      <c r="P32" s="213" t="e">
        <f>'[1]Water-Meter'!J34</f>
        <v>#REF!</v>
      </c>
      <c r="Q32" s="210" t="e">
        <f t="shared" si="6"/>
        <v>#REF!</v>
      </c>
      <c r="R32" s="212" t="e">
        <f t="shared" si="16"/>
        <v>#REF!</v>
      </c>
      <c r="S32" s="214" t="e">
        <f>SUM(F32/[1]Gen!T39)</f>
        <v>#DIV/0!</v>
      </c>
      <c r="T32" s="241">
        <f t="shared" ref="T32:T35" si="20">M32</f>
        <v>43919</v>
      </c>
      <c r="U32" s="197"/>
      <c r="V32" s="194">
        <f t="shared" si="8"/>
        <v>7798.3</v>
      </c>
      <c r="W32" s="195">
        <v>7798.9</v>
      </c>
      <c r="X32" s="202">
        <f t="shared" si="0"/>
        <v>119.99999999989086</v>
      </c>
      <c r="Y32" s="241">
        <f t="shared" ref="Y32:Y35" si="21">T32</f>
        <v>43919</v>
      </c>
      <c r="Z32" s="197"/>
      <c r="AA32" s="194" t="e">
        <f t="shared" si="14"/>
        <v>#REF!</v>
      </c>
      <c r="AB32" s="213" t="e">
        <f>'[1]Water-Meter'!P34</f>
        <v>#REF!</v>
      </c>
      <c r="AC32" s="202" t="e">
        <f t="shared" si="9"/>
        <v>#REF!</v>
      </c>
    </row>
    <row r="33" spans="1:29" ht="19.5" thickBot="1">
      <c r="A33" s="208">
        <f>Gen!C40</f>
        <v>0</v>
      </c>
      <c r="B33" s="95">
        <f>Gen!B40</f>
        <v>43920</v>
      </c>
      <c r="C33" s="197"/>
      <c r="D33" s="194">
        <f t="shared" si="18"/>
        <v>8634.2999999999993</v>
      </c>
      <c r="E33" s="519">
        <v>8635.6</v>
      </c>
      <c r="F33" s="202">
        <f t="shared" si="17"/>
        <v>156.00000000013097</v>
      </c>
      <c r="G33" s="196"/>
      <c r="H33" s="241">
        <f t="shared" si="10"/>
        <v>43920</v>
      </c>
      <c r="I33" s="197"/>
      <c r="J33" s="194" t="e">
        <f t="shared" si="19"/>
        <v>#REF!</v>
      </c>
      <c r="K33" s="240" t="e">
        <f>'[1]Water-Meter'!G35</f>
        <v>#REF!</v>
      </c>
      <c r="L33" s="210" t="e">
        <f t="shared" si="4"/>
        <v>#REF!</v>
      </c>
      <c r="M33" s="241">
        <f t="shared" si="11"/>
        <v>43920</v>
      </c>
      <c r="N33" s="197"/>
      <c r="O33" s="194" t="e">
        <f t="shared" si="5"/>
        <v>#REF!</v>
      </c>
      <c r="P33" s="213" t="e">
        <f>'[1]Water-Meter'!J35</f>
        <v>#REF!</v>
      </c>
      <c r="Q33" s="210" t="e">
        <f t="shared" si="6"/>
        <v>#REF!</v>
      </c>
      <c r="R33" s="212" t="e">
        <f t="shared" si="16"/>
        <v>#REF!</v>
      </c>
      <c r="S33" s="214" t="e">
        <f>SUM(F33/[1]Gen!T40)</f>
        <v>#DIV/0!</v>
      </c>
      <c r="T33" s="241">
        <f t="shared" si="20"/>
        <v>43920</v>
      </c>
      <c r="U33" s="197"/>
      <c r="V33" s="194">
        <f t="shared" si="8"/>
        <v>7798.9</v>
      </c>
      <c r="W33" s="195">
        <v>7800</v>
      </c>
      <c r="X33" s="202">
        <f t="shared" si="0"/>
        <v>220.00000000007276</v>
      </c>
      <c r="Y33" s="241">
        <f t="shared" si="21"/>
        <v>43920</v>
      </c>
      <c r="Z33" s="197"/>
      <c r="AA33" s="194" t="e">
        <f t="shared" si="14"/>
        <v>#REF!</v>
      </c>
      <c r="AB33" s="213" t="e">
        <f>'[1]Water-Meter'!P35</f>
        <v>#REF!</v>
      </c>
      <c r="AC33" s="202" t="e">
        <f t="shared" si="9"/>
        <v>#REF!</v>
      </c>
    </row>
    <row r="34" spans="1:29" ht="19.5" thickBot="1">
      <c r="A34" s="208">
        <f>Gen!C41</f>
        <v>0</v>
      </c>
      <c r="B34" s="95">
        <f>Gen!B41</f>
        <v>43921</v>
      </c>
      <c r="C34" s="198"/>
      <c r="D34" s="194">
        <f t="shared" si="18"/>
        <v>8635.6</v>
      </c>
      <c r="E34" s="519">
        <v>8637.1</v>
      </c>
      <c r="F34" s="202">
        <f t="shared" si="17"/>
        <v>180</v>
      </c>
      <c r="G34" s="20"/>
      <c r="H34" s="241">
        <f t="shared" si="10"/>
        <v>43921</v>
      </c>
      <c r="I34" s="198"/>
      <c r="J34" s="194" t="e">
        <f t="shared" si="19"/>
        <v>#REF!</v>
      </c>
      <c r="K34" s="240" t="e">
        <f>'[1]Water-Meter'!G36</f>
        <v>#REF!</v>
      </c>
      <c r="L34" s="210" t="e">
        <f t="shared" si="4"/>
        <v>#REF!</v>
      </c>
      <c r="M34" s="241">
        <f t="shared" si="11"/>
        <v>43921</v>
      </c>
      <c r="N34" s="198"/>
      <c r="O34" s="194" t="e">
        <f t="shared" ref="O34:O35" si="22">SUM(P33)</f>
        <v>#REF!</v>
      </c>
      <c r="P34" s="213" t="e">
        <f>'[1]Water-Meter'!J36</f>
        <v>#REF!</v>
      </c>
      <c r="Q34" s="210" t="e">
        <f t="shared" si="6"/>
        <v>#REF!</v>
      </c>
      <c r="R34" s="212" t="e">
        <f t="shared" si="16"/>
        <v>#REF!</v>
      </c>
      <c r="S34" s="214" t="e">
        <f>SUM(F34/[1]Gen!T41)</f>
        <v>#DIV/0!</v>
      </c>
      <c r="T34" s="241">
        <f t="shared" si="20"/>
        <v>43921</v>
      </c>
      <c r="U34" s="198"/>
      <c r="V34" s="194">
        <f t="shared" ref="V34:V35" si="23">SUM(W33)</f>
        <v>7800</v>
      </c>
      <c r="W34" s="195">
        <v>7800.7</v>
      </c>
      <c r="X34" s="202">
        <f t="shared" si="0"/>
        <v>139.99999999996362</v>
      </c>
      <c r="Y34" s="241">
        <f t="shared" si="21"/>
        <v>43921</v>
      </c>
      <c r="Z34" s="198"/>
      <c r="AA34" s="194" t="e">
        <f t="shared" si="14"/>
        <v>#REF!</v>
      </c>
      <c r="AB34" s="213" t="e">
        <f>'[1]Water-Meter'!P36</f>
        <v>#REF!</v>
      </c>
      <c r="AC34" s="219" t="e">
        <f t="shared" si="9"/>
        <v>#REF!</v>
      </c>
    </row>
    <row r="35" spans="1:29" ht="20.25" customHeight="1" thickBot="1">
      <c r="A35" s="208" t="e">
        <f>[1]Gen!B42</f>
        <v>#REF!</v>
      </c>
      <c r="B35" s="95" t="e">
        <f>[1]Gen!A42</f>
        <v>#REF!</v>
      </c>
      <c r="D35" s="603">
        <f t="shared" si="18"/>
        <v>8637.1</v>
      </c>
      <c r="E35" s="604"/>
      <c r="F35" s="204">
        <f>SUM(F4:F6)</f>
        <v>1560</v>
      </c>
      <c r="G35" s="20"/>
      <c r="H35" s="241" t="e">
        <f t="shared" si="10"/>
        <v>#REF!</v>
      </c>
      <c r="J35" s="194" t="e">
        <f t="shared" si="19"/>
        <v>#REF!</v>
      </c>
      <c r="K35" s="240" t="e">
        <f>'[1]Water-Meter'!G37</f>
        <v>#REF!</v>
      </c>
      <c r="L35" s="204" t="e">
        <f>SUM(L5:L34)</f>
        <v>#REF!</v>
      </c>
      <c r="M35" s="241" t="e">
        <f t="shared" si="11"/>
        <v>#REF!</v>
      </c>
      <c r="N35" s="198"/>
      <c r="O35" s="194" t="e">
        <f t="shared" si="22"/>
        <v>#REF!</v>
      </c>
      <c r="P35" s="213" t="e">
        <f>'[1]Water-Meter'!J37</f>
        <v>#REF!</v>
      </c>
      <c r="Q35" s="204" t="e">
        <f>SUM(Q5:Q34)</f>
        <v>#REF!</v>
      </c>
      <c r="R35" s="212" t="e">
        <f t="shared" si="16"/>
        <v>#REF!</v>
      </c>
      <c r="S35" s="214" t="e">
        <f>SUM(F35/[1]Gen!T42)</f>
        <v>#DIV/0!</v>
      </c>
      <c r="T35" s="241" t="e">
        <f t="shared" si="20"/>
        <v>#REF!</v>
      </c>
      <c r="V35" s="194">
        <f t="shared" si="23"/>
        <v>7800.7</v>
      </c>
      <c r="W35" s="195"/>
      <c r="X35" s="202">
        <f t="shared" si="0"/>
        <v>-1560140</v>
      </c>
      <c r="Y35" s="241" t="e">
        <f t="shared" si="21"/>
        <v>#REF!</v>
      </c>
      <c r="AA35" s="194" t="e">
        <f t="shared" si="14"/>
        <v>#REF!</v>
      </c>
      <c r="AB35" s="213" t="e">
        <f>'[1]Water-Meter'!P37</f>
        <v>#REF!</v>
      </c>
      <c r="AC35" s="217" t="e">
        <f>SUM(AC5:AC34)</f>
        <v>#REF!</v>
      </c>
    </row>
    <row r="36" spans="1:29" ht="24.75" customHeight="1">
      <c r="D36" s="20"/>
      <c r="E36" s="523"/>
      <c r="L36" s="152"/>
      <c r="Q36" s="152"/>
      <c r="R36" s="211"/>
      <c r="X36" s="521">
        <f>SUM(X4:X6)</f>
        <v>2559.9999999998545</v>
      </c>
      <c r="AC36" s="152"/>
    </row>
    <row r="37" spans="1:29" ht="12.75" customHeight="1">
      <c r="D37" s="20"/>
      <c r="E37" s="523"/>
      <c r="G37" s="20"/>
    </row>
    <row r="38" spans="1:29" ht="12.75" customHeight="1">
      <c r="E38" s="199"/>
      <c r="G38" s="20"/>
      <c r="K38" s="199"/>
      <c r="W38" s="199"/>
      <c r="AB38" s="199"/>
    </row>
    <row r="39" spans="1:29" ht="12.75" customHeight="1">
      <c r="E39" s="523"/>
      <c r="G39" s="20"/>
    </row>
    <row r="40" spans="1:29" ht="12.75" customHeight="1">
      <c r="D40" s="152"/>
      <c r="E40" s="199"/>
      <c r="G40" s="20"/>
      <c r="V40" s="152"/>
      <c r="W40" s="199"/>
    </row>
    <row r="41" spans="1:29" ht="12.75" customHeight="1">
      <c r="E41" s="523"/>
      <c r="G41" s="20"/>
    </row>
    <row r="42" spans="1:29" ht="12.75" customHeight="1">
      <c r="C42" s="200"/>
      <c r="E42" s="524"/>
      <c r="G42" s="20"/>
      <c r="U42" s="200"/>
    </row>
    <row r="43" spans="1:29" ht="18.75">
      <c r="E43" s="523"/>
    </row>
    <row r="44" spans="1:29">
      <c r="E44" s="524"/>
    </row>
    <row r="45" spans="1:29" ht="18.75">
      <c r="E45" s="523"/>
    </row>
    <row r="46" spans="1:29">
      <c r="E46" s="524"/>
    </row>
    <row r="47" spans="1:29" ht="18.75">
      <c r="E47" s="523"/>
    </row>
    <row r="48" spans="1:29">
      <c r="E48" s="524"/>
    </row>
    <row r="49" spans="5:5" ht="18.75">
      <c r="E49" s="523"/>
    </row>
    <row r="50" spans="5:5">
      <c r="E50" s="524"/>
    </row>
    <row r="51" spans="5:5" ht="18.75">
      <c r="E51" s="523"/>
    </row>
    <row r="52" spans="5:5">
      <c r="E52" s="524"/>
    </row>
    <row r="53" spans="5:5" ht="18.75">
      <c r="E53" s="523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3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E37" sqref="E37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/>
    <row r="2" spans="1:13">
      <c r="A2" s="798" t="s">
        <v>315</v>
      </c>
      <c r="B2" s="799"/>
      <c r="C2" s="799"/>
      <c r="D2" s="799"/>
      <c r="E2" s="800"/>
      <c r="F2" s="120"/>
      <c r="G2" s="120"/>
      <c r="H2" s="120"/>
      <c r="I2" s="120"/>
      <c r="J2" s="120"/>
      <c r="K2" s="120"/>
      <c r="L2" s="120"/>
    </row>
    <row r="3" spans="1:13" ht="50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3" s="51" customFormat="1" ht="50.25" customHeight="1">
      <c r="A4" s="64" t="s">
        <v>0</v>
      </c>
      <c r="B4" s="82" t="s">
        <v>67</v>
      </c>
      <c r="C4" s="391" t="s">
        <v>51</v>
      </c>
      <c r="D4" s="53" t="s">
        <v>65</v>
      </c>
      <c r="E4" s="53" t="s">
        <v>66</v>
      </c>
      <c r="F4" s="74" t="s">
        <v>42</v>
      </c>
      <c r="G4" s="53" t="s">
        <v>205</v>
      </c>
      <c r="H4" s="53" t="s">
        <v>208</v>
      </c>
      <c r="I4" s="53" t="s">
        <v>206</v>
      </c>
      <c r="J4" s="53" t="s">
        <v>207</v>
      </c>
      <c r="K4" s="74" t="s">
        <v>52</v>
      </c>
      <c r="L4" s="74" t="s">
        <v>77</v>
      </c>
    </row>
    <row r="5" spans="1:13">
      <c r="A5" s="54">
        <f>Gen!B11</f>
        <v>43891</v>
      </c>
      <c r="B5" s="422">
        <f>'Daily report Gen'!Z6</f>
        <v>40</v>
      </c>
      <c r="C5" s="89">
        <f>Gen!C11</f>
        <v>0.57140000000000002</v>
      </c>
      <c r="D5" s="586">
        <f t="shared" ref="D5:D36" si="0">E5</f>
        <v>46</v>
      </c>
      <c r="E5" s="76">
        <v>46</v>
      </c>
      <c r="F5" s="72">
        <f>Gen!U9</f>
        <v>0</v>
      </c>
      <c r="G5" s="87">
        <f>Gen!T9</f>
        <v>0</v>
      </c>
      <c r="H5" s="87">
        <f>Gen!AK11</f>
        <v>321.77</v>
      </c>
      <c r="I5" s="87">
        <f t="shared" ref="I5:I36" si="1">SUM(G5:H5)</f>
        <v>321.77</v>
      </c>
      <c r="J5" s="601">
        <f>Gen!D11</f>
        <v>32302.73</v>
      </c>
      <c r="K5" s="384">
        <f>'Water-Meter'!E6</f>
        <v>146</v>
      </c>
      <c r="L5" s="602">
        <f>'Lpg (2)'!G10</f>
        <v>123.06800000000513</v>
      </c>
      <c r="M5" s="81" t="e">
        <f>SUM(#REF!-#REF!)</f>
        <v>#REF!</v>
      </c>
    </row>
    <row r="6" spans="1:13">
      <c r="A6" s="54">
        <f>Gen!B12</f>
        <v>43892</v>
      </c>
      <c r="B6" s="422">
        <f>'Daily report Gen'!Z7</f>
        <v>40</v>
      </c>
      <c r="C6" s="89">
        <f>Gen!C12</f>
        <v>0.2208</v>
      </c>
      <c r="D6" s="586">
        <f t="shared" si="0"/>
        <v>17</v>
      </c>
      <c r="E6" s="76">
        <v>17</v>
      </c>
      <c r="F6" s="72">
        <f>Gen!U10</f>
        <v>0</v>
      </c>
      <c r="G6" s="87">
        <f>Gen!T10</f>
        <v>0</v>
      </c>
      <c r="H6" s="87">
        <f>Gen!AK12</f>
        <v>281.34000000000003</v>
      </c>
      <c r="I6" s="87">
        <f t="shared" si="1"/>
        <v>281.34000000000003</v>
      </c>
      <c r="J6" s="601">
        <f>Gen!D12</f>
        <v>47734.270000000004</v>
      </c>
      <c r="K6" s="384">
        <f>'Water-Meter'!E7</f>
        <v>164</v>
      </c>
      <c r="L6" s="602">
        <f>'Lpg (2)'!G11</f>
        <v>166.27599999997184</v>
      </c>
      <c r="M6" s="81" t="e">
        <f>SUM(#REF!-#REF!)</f>
        <v>#REF!</v>
      </c>
    </row>
    <row r="7" spans="1:13">
      <c r="A7" s="54">
        <f>Gen!B13</f>
        <v>43893</v>
      </c>
      <c r="B7" s="422">
        <f>'Daily report Gen'!Z8</f>
        <v>42</v>
      </c>
      <c r="C7" s="89">
        <f>Gen!C13</f>
        <v>0.1429</v>
      </c>
      <c r="D7" s="586">
        <f t="shared" si="0"/>
        <v>12</v>
      </c>
      <c r="E7" s="76">
        <v>12</v>
      </c>
      <c r="F7" s="72">
        <f>Gen!U11</f>
        <v>5649</v>
      </c>
      <c r="G7" s="87">
        <f>Gen!T11</f>
        <v>2246.69</v>
      </c>
      <c r="H7" s="87">
        <f>Gen!AK13</f>
        <v>55.1</v>
      </c>
      <c r="I7" s="87">
        <f t="shared" si="1"/>
        <v>2301.79</v>
      </c>
      <c r="J7" s="601">
        <f>Gen!D13</f>
        <v>45327.450000000004</v>
      </c>
      <c r="K7" s="384">
        <f>'Water-Meter'!E8</f>
        <v>164</v>
      </c>
      <c r="L7" s="602">
        <f>'Lpg (2)'!G12</f>
        <v>108.59200000003331</v>
      </c>
      <c r="M7" s="81" t="e">
        <f>SUM(#REF!-#REF!)</f>
        <v>#REF!</v>
      </c>
    </row>
    <row r="8" spans="1:13">
      <c r="A8" s="54">
        <f>Gen!B14</f>
        <v>43894</v>
      </c>
      <c r="B8" s="422">
        <f>'Daily report Gen'!Z9</f>
        <v>42</v>
      </c>
      <c r="C8" s="89">
        <f>Gen!C14</f>
        <v>1</v>
      </c>
      <c r="D8" s="586">
        <f>E8</f>
        <v>77</v>
      </c>
      <c r="E8" s="76">
        <v>77</v>
      </c>
      <c r="F8" s="72">
        <f>Gen!U12</f>
        <v>5543</v>
      </c>
      <c r="G8" s="87">
        <f>Gen!T12</f>
        <v>2125.4799999999996</v>
      </c>
      <c r="H8" s="87">
        <f>Gen!AK14</f>
        <v>149.94</v>
      </c>
      <c r="I8" s="87">
        <f t="shared" si="1"/>
        <v>2275.4199999999996</v>
      </c>
      <c r="J8" s="601">
        <f>Gen!D14</f>
        <v>43191.070000000007</v>
      </c>
      <c r="K8" s="384">
        <f>'Water-Meter'!E9</f>
        <v>163</v>
      </c>
      <c r="L8" s="602">
        <f>'Lpg (2)'!G13</f>
        <v>105.60000000000001</v>
      </c>
      <c r="M8" s="81" t="e">
        <f>SUM(#REF!-#REF!)</f>
        <v>#REF!</v>
      </c>
    </row>
    <row r="9" spans="1:13">
      <c r="A9" s="54">
        <f>Gen!B15</f>
        <v>43895</v>
      </c>
      <c r="B9" s="422">
        <f>'Daily report Gen'!Z10</f>
        <v>42</v>
      </c>
      <c r="C9" s="89">
        <f>Gen!C15</f>
        <v>1</v>
      </c>
      <c r="D9" s="586">
        <f t="shared" si="0"/>
        <v>77</v>
      </c>
      <c r="E9" s="76">
        <v>77</v>
      </c>
      <c r="F9" s="72">
        <f>Gen!U13</f>
        <v>4636</v>
      </c>
      <c r="G9" s="87">
        <f>Gen!T13</f>
        <v>2081.2800000000002</v>
      </c>
      <c r="H9" s="87">
        <f>Gen!AK15</f>
        <v>44.9</v>
      </c>
      <c r="I9" s="87">
        <f t="shared" si="1"/>
        <v>2126.1800000000003</v>
      </c>
      <c r="J9" s="601">
        <f>Gen!D15</f>
        <v>40619.840000000004</v>
      </c>
      <c r="K9" s="384">
        <f>'Water-Meter'!E10</f>
        <v>177</v>
      </c>
      <c r="L9" s="602">
        <f>'Lpg (2)'!G14</f>
        <v>103.83999999996159</v>
      </c>
      <c r="M9" s="81" t="e">
        <f>SUM(#REF!-#REF!)</f>
        <v>#REF!</v>
      </c>
    </row>
    <row r="10" spans="1:13">
      <c r="A10" s="54">
        <f>Gen!B16</f>
        <v>43896</v>
      </c>
      <c r="B10" s="422">
        <f>'Daily report Gen'!Z11</f>
        <v>51</v>
      </c>
      <c r="C10" s="89">
        <f>Gen!C16</f>
        <v>1</v>
      </c>
      <c r="D10" s="586">
        <f t="shared" si="0"/>
        <v>77</v>
      </c>
      <c r="E10" s="76">
        <v>77</v>
      </c>
      <c r="F10" s="72">
        <f>Gen!U14</f>
        <v>6200</v>
      </c>
      <c r="G10" s="87">
        <f>Gen!T14</f>
        <v>2421.29</v>
      </c>
      <c r="H10" s="87">
        <f>Gen!AK16</f>
        <v>75.03</v>
      </c>
      <c r="I10" s="87">
        <f t="shared" si="1"/>
        <v>2496.3200000000002</v>
      </c>
      <c r="J10" s="601">
        <f>Gen!D16</f>
        <v>37984.770000000004</v>
      </c>
      <c r="K10" s="384">
        <f>'Water-Meter'!E11</f>
        <v>191</v>
      </c>
      <c r="L10" s="602">
        <f>'Lpg (2)'!G15</f>
        <v>87.340000000025611</v>
      </c>
      <c r="M10" s="81" t="e">
        <f>SUM(#REF!-#REF!)</f>
        <v>#REF!</v>
      </c>
    </row>
    <row r="11" spans="1:13">
      <c r="A11" s="54">
        <f>Gen!B17</f>
        <v>43897</v>
      </c>
      <c r="B11" s="422">
        <f>'Daily report Gen'!Z12</f>
        <v>43</v>
      </c>
      <c r="C11" s="89">
        <f>Gen!C17</f>
        <v>1</v>
      </c>
      <c r="D11" s="586">
        <f t="shared" si="0"/>
        <v>77</v>
      </c>
      <c r="E11" s="76">
        <v>77</v>
      </c>
      <c r="F11" s="72">
        <f>Gen!U15</f>
        <v>6603</v>
      </c>
      <c r="G11" s="87">
        <f>Gen!T15</f>
        <v>2590.17</v>
      </c>
      <c r="H11" s="87">
        <f>Gen!AK17</f>
        <v>87.259999999999991</v>
      </c>
      <c r="I11" s="87">
        <f t="shared" si="1"/>
        <v>2677.4300000000003</v>
      </c>
      <c r="J11" s="601">
        <f>Gen!D17</f>
        <v>50215.560000000005</v>
      </c>
      <c r="K11" s="384">
        <f>'Water-Meter'!E12</f>
        <v>168</v>
      </c>
      <c r="L11" s="602">
        <f>'Lpg (2)'!G16</f>
        <v>104.98400000000257</v>
      </c>
      <c r="M11" s="81" t="e">
        <f>SUM(#REF!-#REF!)</f>
        <v>#REF!</v>
      </c>
    </row>
    <row r="12" spans="1:13">
      <c r="A12" s="54">
        <f>Gen!B18</f>
        <v>43898</v>
      </c>
      <c r="B12" s="422">
        <f>'Daily report Gen'!Z13</f>
        <v>45</v>
      </c>
      <c r="C12" s="89">
        <f>Gen!C18</f>
        <v>0.59740000000000004</v>
      </c>
      <c r="D12" s="586">
        <f t="shared" si="0"/>
        <v>46</v>
      </c>
      <c r="E12" s="76">
        <v>46</v>
      </c>
      <c r="F12" s="72">
        <f>Gen!U16</f>
        <v>6820</v>
      </c>
      <c r="G12" s="87">
        <f>Gen!T16</f>
        <v>2694.18</v>
      </c>
      <c r="H12" s="87">
        <f>Gen!AK18</f>
        <v>424.4</v>
      </c>
      <c r="I12" s="87">
        <f t="shared" si="1"/>
        <v>3118.58</v>
      </c>
      <c r="J12" s="601">
        <f>Gen!D18</f>
        <v>47214.000000000007</v>
      </c>
      <c r="K12" s="384">
        <f>'Water-Meter'!E13</f>
        <v>131</v>
      </c>
      <c r="L12" s="602">
        <f>'Lpg (2)'!G17</f>
        <v>123.7720000000205</v>
      </c>
      <c r="M12" s="81" t="e">
        <f>SUM(#REF!-#REF!)</f>
        <v>#REF!</v>
      </c>
    </row>
    <row r="13" spans="1:13">
      <c r="A13" s="54">
        <f>Gen!B19</f>
        <v>43899</v>
      </c>
      <c r="B13" s="422">
        <f>'Daily report Gen'!Z14</f>
        <v>44</v>
      </c>
      <c r="C13" s="89">
        <f>Gen!C19</f>
        <v>0.57140000000000002</v>
      </c>
      <c r="D13" s="586">
        <f t="shared" si="0"/>
        <v>44</v>
      </c>
      <c r="E13" s="76">
        <v>44</v>
      </c>
      <c r="F13" s="72">
        <f>Gen!U17</f>
        <v>7352</v>
      </c>
      <c r="G13" s="87">
        <f>Gen!T17</f>
        <v>2914.3</v>
      </c>
      <c r="H13" s="87">
        <f>Gen!AK19</f>
        <v>170.83999999999997</v>
      </c>
      <c r="I13" s="87">
        <f t="shared" si="1"/>
        <v>3085.1400000000003</v>
      </c>
      <c r="J13" s="601">
        <f>Gen!D19</f>
        <v>44105.760000000009</v>
      </c>
      <c r="K13" s="384">
        <f>'Water-Meter'!E14</f>
        <v>117</v>
      </c>
      <c r="L13" s="602">
        <f>'Lpg (2)'!G18</f>
        <v>99.263999999989764</v>
      </c>
      <c r="M13" s="81" t="e">
        <f>SUM(#REF!-#REF!)</f>
        <v>#REF!</v>
      </c>
    </row>
    <row r="14" spans="1:13">
      <c r="A14" s="54">
        <f>Gen!B20</f>
        <v>43900</v>
      </c>
      <c r="B14" s="422">
        <f>'Daily report Gen'!Z15</f>
        <v>42</v>
      </c>
      <c r="C14" s="89">
        <f>Gen!C20</f>
        <v>0.58440000000000003</v>
      </c>
      <c r="D14" s="586">
        <f t="shared" si="0"/>
        <v>0</v>
      </c>
      <c r="E14" s="76"/>
      <c r="F14" s="72">
        <f>Gen!U18</f>
        <v>6190</v>
      </c>
      <c r="G14" s="87">
        <f>Gen!T18</f>
        <v>2683.84</v>
      </c>
      <c r="H14" s="87">
        <f>Gen!AK20</f>
        <v>33.880000000000003</v>
      </c>
      <c r="I14" s="87">
        <f t="shared" si="1"/>
        <v>2717.7200000000003</v>
      </c>
      <c r="J14" s="601">
        <f>Gen!D20</f>
        <v>41701.970000000008</v>
      </c>
      <c r="K14" s="384">
        <f>'Water-Meter'!E15</f>
        <v>129</v>
      </c>
      <c r="L14" s="602">
        <f>'Lpg (2)'!G19</f>
        <v>104.54399999997696</v>
      </c>
      <c r="M14" s="81" t="e">
        <f>SUM(#REF!-#REF!)</f>
        <v>#REF!</v>
      </c>
    </row>
    <row r="15" spans="1:13">
      <c r="A15" s="54">
        <f>Gen!B21</f>
        <v>43901</v>
      </c>
      <c r="B15" s="422">
        <f>'Daily report Gen'!Z16</f>
        <v>31</v>
      </c>
      <c r="C15" s="89">
        <f>Gen!C21</f>
        <v>3.9E-2</v>
      </c>
      <c r="D15" s="586">
        <f t="shared" si="0"/>
        <v>0</v>
      </c>
      <c r="E15" s="76"/>
      <c r="F15" s="72">
        <f>Gen!U19</f>
        <v>4387</v>
      </c>
      <c r="G15" s="87">
        <f>Gen!T19</f>
        <v>2232.9499999999998</v>
      </c>
      <c r="H15" s="87">
        <f>Gen!AK21</f>
        <v>204.76999999999998</v>
      </c>
      <c r="I15" s="87">
        <f t="shared" si="1"/>
        <v>2437.7199999999998</v>
      </c>
      <c r="J15" s="601">
        <f>Gen!D21</f>
        <v>39539.69000000001</v>
      </c>
      <c r="K15" s="384">
        <f>'Water-Meter'!E16</f>
        <v>99</v>
      </c>
      <c r="L15" s="602">
        <f>'Lpg (2)'!G20</f>
        <v>103.26800000000513</v>
      </c>
      <c r="M15" s="81" t="e">
        <f>SUM(#REF!-#REF!)</f>
        <v>#REF!</v>
      </c>
    </row>
    <row r="16" spans="1:13">
      <c r="A16" s="54">
        <f>Gen!B22</f>
        <v>43902</v>
      </c>
      <c r="B16" s="422">
        <f>'Daily report Gen'!Z17</f>
        <v>25</v>
      </c>
      <c r="C16" s="89">
        <f>Gen!C22</f>
        <v>3.9E-2</v>
      </c>
      <c r="D16" s="586">
        <f t="shared" si="0"/>
        <v>4</v>
      </c>
      <c r="E16" s="76">
        <v>4</v>
      </c>
      <c r="F16" s="72">
        <f>Gen!U20</f>
        <v>5593</v>
      </c>
      <c r="G16" s="87">
        <f>Gen!T20</f>
        <v>2128.3999999999996</v>
      </c>
      <c r="H16" s="87">
        <f>Gen!AK22</f>
        <v>106.07</v>
      </c>
      <c r="I16" s="87">
        <f t="shared" si="1"/>
        <v>2234.4699999999998</v>
      </c>
      <c r="J16" s="601">
        <f>Gen!D22</f>
        <v>37627.070000000007</v>
      </c>
      <c r="K16" s="384">
        <f>'Water-Meter'!E17</f>
        <v>77</v>
      </c>
      <c r="L16" s="602">
        <f>'Lpg (2)'!G21</f>
        <v>84.611999999982075</v>
      </c>
      <c r="M16" s="81" t="e">
        <f>SUM(#REF!-#REF!)</f>
        <v>#REF!</v>
      </c>
    </row>
    <row r="17" spans="1:13">
      <c r="A17" s="54">
        <f>Gen!B23</f>
        <v>43903</v>
      </c>
      <c r="B17" s="422">
        <f>'Daily report Gen'!Z18</f>
        <v>25</v>
      </c>
      <c r="C17" s="89">
        <f>Gen!C23</f>
        <v>3.9E-2</v>
      </c>
      <c r="D17" s="586">
        <f t="shared" si="0"/>
        <v>4</v>
      </c>
      <c r="E17" s="76">
        <v>4</v>
      </c>
      <c r="F17" s="72">
        <f>Gen!U21</f>
        <v>4641</v>
      </c>
      <c r="G17" s="87">
        <f>Gen!T21</f>
        <v>1707.85</v>
      </c>
      <c r="H17" s="87">
        <f>Gen!AK23</f>
        <v>233.75</v>
      </c>
      <c r="I17" s="87">
        <f t="shared" si="1"/>
        <v>1941.6</v>
      </c>
      <c r="J17" s="601">
        <f>Gen!D23</f>
        <v>34783.500000000007</v>
      </c>
      <c r="K17" s="384">
        <f>'Water-Meter'!E18</f>
        <v>69</v>
      </c>
      <c r="L17" s="602">
        <f>'Lpg (2)'!G22</f>
        <v>102.08000000005123</v>
      </c>
      <c r="M17" s="81" t="e">
        <f>SUM(#REF!-#REF!)</f>
        <v>#REF!</v>
      </c>
    </row>
    <row r="18" spans="1:13">
      <c r="A18" s="54">
        <f>Gen!B24</f>
        <v>43904</v>
      </c>
      <c r="B18" s="422">
        <f>'Daily report Gen'!Z19</f>
        <v>23</v>
      </c>
      <c r="C18" s="89">
        <f>Gen!C24</f>
        <v>2.86E-2</v>
      </c>
      <c r="D18" s="586">
        <f t="shared" si="0"/>
        <v>4</v>
      </c>
      <c r="E18" s="76">
        <v>4</v>
      </c>
      <c r="F18" s="72">
        <f>Gen!U22</f>
        <v>4209</v>
      </c>
      <c r="G18" s="87">
        <f>Gen!T22</f>
        <v>2737.5</v>
      </c>
      <c r="H18" s="87">
        <f>Gen!AK24</f>
        <v>116.4</v>
      </c>
      <c r="I18" s="87">
        <f t="shared" si="1"/>
        <v>2853.9</v>
      </c>
      <c r="J18" s="601">
        <f>Gen!D24</f>
        <v>32011.610000000008</v>
      </c>
      <c r="K18" s="384">
        <f>'Water-Meter'!E19</f>
        <v>72</v>
      </c>
      <c r="L18" s="602">
        <f>'Lpg (2)'!G23</f>
        <v>89.319999999948791</v>
      </c>
      <c r="M18" s="81" t="e">
        <f>SUM(#REF!-#REF!)</f>
        <v>#REF!</v>
      </c>
    </row>
    <row r="19" spans="1:13">
      <c r="A19" s="54">
        <f>Gen!B25</f>
        <v>43905</v>
      </c>
      <c r="B19" s="422">
        <f>'Daily report Gen'!Z20</f>
        <v>25</v>
      </c>
      <c r="C19" s="89">
        <f>Gen!C25</f>
        <v>6.4899999999999999E-2</v>
      </c>
      <c r="D19" s="586">
        <f t="shared" si="0"/>
        <v>4</v>
      </c>
      <c r="E19" s="76">
        <v>4</v>
      </c>
      <c r="F19" s="72">
        <f>Gen!U23</f>
        <v>3918</v>
      </c>
      <c r="G19" s="87">
        <f>Gen!T23</f>
        <v>2538.1400000000003</v>
      </c>
      <c r="H19" s="87">
        <f>Gen!AK25</f>
        <v>287.96000000000004</v>
      </c>
      <c r="I19" s="87">
        <f t="shared" si="1"/>
        <v>2826.1000000000004</v>
      </c>
      <c r="J19" s="601">
        <f>Gen!D25</f>
        <v>30588.530000000006</v>
      </c>
      <c r="K19" s="384">
        <f>'Water-Meter'!E20</f>
        <v>92</v>
      </c>
      <c r="L19" s="602">
        <f>'Lpg (2)'!G24</f>
        <v>173.62400000002819</v>
      </c>
      <c r="M19" s="81" t="e">
        <f>SUM(#REF!-#REF!)</f>
        <v>#REF!</v>
      </c>
    </row>
    <row r="20" spans="1:13">
      <c r="A20" s="54">
        <f>Gen!B26</f>
        <v>43906</v>
      </c>
      <c r="B20" s="422">
        <f>'Daily report Gen'!Z21</f>
        <v>25</v>
      </c>
      <c r="C20" s="89">
        <f>Gen!C26</f>
        <v>5.1900000000000002E-2</v>
      </c>
      <c r="D20" s="586">
        <f t="shared" si="0"/>
        <v>5</v>
      </c>
      <c r="E20" s="76">
        <v>5</v>
      </c>
      <c r="F20" s="72">
        <f>Gen!U24</f>
        <v>3497</v>
      </c>
      <c r="G20" s="87">
        <f>Gen!T24</f>
        <v>1306.6799999999998</v>
      </c>
      <c r="H20" s="87">
        <f>Gen!AK26</f>
        <v>79.289999999999992</v>
      </c>
      <c r="I20" s="87">
        <f t="shared" si="1"/>
        <v>1385.9699999999998</v>
      </c>
      <c r="J20" s="601">
        <f>Gen!D26</f>
        <v>28879.110000000008</v>
      </c>
      <c r="K20" s="384">
        <f>'Water-Meter'!E21</f>
        <v>90</v>
      </c>
      <c r="L20" s="602">
        <f>'Lpg (2)'!G25</f>
        <v>84.7</v>
      </c>
      <c r="M20" s="81" t="e">
        <f>SUM(#REF!-#REF!)</f>
        <v>#REF!</v>
      </c>
    </row>
    <row r="21" spans="1:13">
      <c r="A21" s="54">
        <f>Gen!B27</f>
        <v>43907</v>
      </c>
      <c r="B21" s="422">
        <f>'Daily report Gen'!Z22</f>
        <v>25</v>
      </c>
      <c r="C21" s="89">
        <f>Gen!C27</f>
        <v>2.5999999999999999E-2</v>
      </c>
      <c r="D21" s="586">
        <f t="shared" si="0"/>
        <v>6</v>
      </c>
      <c r="E21" s="76">
        <v>6</v>
      </c>
      <c r="F21" s="72">
        <f>Gen!U25</f>
        <v>3584</v>
      </c>
      <c r="G21" s="87">
        <f>Gen!T25</f>
        <v>1421.46</v>
      </c>
      <c r="H21" s="87">
        <f>Gen!AK27</f>
        <v>50.42</v>
      </c>
      <c r="I21" s="87">
        <f t="shared" si="1"/>
        <v>1471.88</v>
      </c>
      <c r="J21" s="601">
        <f>Gen!D27</f>
        <v>45433.000000000007</v>
      </c>
      <c r="K21" s="384">
        <f>'Water-Meter'!E22</f>
        <v>72</v>
      </c>
      <c r="L21" s="602">
        <f>'Lpg (2)'!G26</f>
        <v>80.036000000010247</v>
      </c>
      <c r="M21" s="81" t="e">
        <f>SUM(#REF!-#REF!)</f>
        <v>#REF!</v>
      </c>
    </row>
    <row r="22" spans="1:13">
      <c r="A22" s="54">
        <f>Gen!B28</f>
        <v>43908</v>
      </c>
      <c r="B22" s="422">
        <f>'Daily report Gen'!Z23</f>
        <v>25</v>
      </c>
      <c r="C22" s="89">
        <f>Gen!C28</f>
        <v>5.1900000000000002E-2</v>
      </c>
      <c r="D22" s="586">
        <f t="shared" si="0"/>
        <v>5</v>
      </c>
      <c r="E22" s="76">
        <v>5</v>
      </c>
      <c r="F22" s="72">
        <f>Gen!U26</f>
        <v>3345</v>
      </c>
      <c r="G22" s="87">
        <f>Gen!T26</f>
        <v>1366.8200000000002</v>
      </c>
      <c r="H22" s="87">
        <f>Gen!AK28</f>
        <v>156</v>
      </c>
      <c r="I22" s="87">
        <f t="shared" si="1"/>
        <v>1522.8200000000002</v>
      </c>
      <c r="J22" s="601">
        <f>Gen!D28</f>
        <v>44167.16</v>
      </c>
      <c r="K22" s="384">
        <f>'Water-Meter'!E23</f>
        <v>57</v>
      </c>
      <c r="L22" s="602">
        <f>'Lpg (2)'!G27</f>
        <v>79.68400000000257</v>
      </c>
      <c r="M22" s="81" t="e">
        <f>SUM(#REF!-#REF!)</f>
        <v>#REF!</v>
      </c>
    </row>
    <row r="23" spans="1:13">
      <c r="A23" s="54">
        <f>Gen!B29</f>
        <v>43909</v>
      </c>
      <c r="B23" s="422">
        <f>'Daily report Gen'!Z24</f>
        <v>25</v>
      </c>
      <c r="C23" s="89">
        <f>Gen!C29</f>
        <v>0.02</v>
      </c>
      <c r="D23" s="586">
        <f t="shared" si="0"/>
        <v>1</v>
      </c>
      <c r="E23" s="76">
        <v>1</v>
      </c>
      <c r="F23" s="72">
        <f>Gen!U27</f>
        <v>3067</v>
      </c>
      <c r="G23" s="87">
        <f>Gen!T27</f>
        <v>1215.42</v>
      </c>
      <c r="H23" s="87">
        <f>Gen!AK29</f>
        <v>97.01</v>
      </c>
      <c r="I23" s="87">
        <f t="shared" si="1"/>
        <v>1312.43</v>
      </c>
      <c r="J23" s="601">
        <f>Gen!D29</f>
        <v>42818.340000000004</v>
      </c>
      <c r="K23" s="384">
        <f>'Water-Meter'!E24</f>
        <v>72</v>
      </c>
      <c r="L23" s="602">
        <f>'Lpg (2)'!G28</f>
        <v>68.595999999984642</v>
      </c>
      <c r="M23" s="81" t="e">
        <f>SUM(#REF!-#REF!)</f>
        <v>#REF!</v>
      </c>
    </row>
    <row r="24" spans="1:13">
      <c r="A24" s="54">
        <f>Gen!B30</f>
        <v>43910</v>
      </c>
      <c r="B24" s="422">
        <f>'Daily report Gen'!Z25</f>
        <v>24</v>
      </c>
      <c r="C24" s="89">
        <f>Gen!C30</f>
        <v>0.02</v>
      </c>
      <c r="D24" s="586">
        <f t="shared" si="0"/>
        <v>0</v>
      </c>
      <c r="E24" s="76">
        <v>0</v>
      </c>
      <c r="F24" s="72">
        <f>Gen!U28</f>
        <v>2970</v>
      </c>
      <c r="G24" s="87">
        <f>Gen!T28</f>
        <v>1192.8200000000002</v>
      </c>
      <c r="H24" s="87">
        <f>Gen!AK30</f>
        <v>0</v>
      </c>
      <c r="I24" s="87">
        <f t="shared" si="1"/>
        <v>1192.8200000000002</v>
      </c>
      <c r="J24" s="601">
        <f>Gen!D30</f>
        <v>41619.560000000005</v>
      </c>
      <c r="K24" s="384">
        <f>'Water-Meter'!E25</f>
        <v>65</v>
      </c>
      <c r="L24" s="602">
        <f>'Lpg (2)'!G29</f>
        <v>81.268000000005131</v>
      </c>
      <c r="M24" s="81" t="e">
        <f>SUM(#REF!-#REF!)</f>
        <v>#REF!</v>
      </c>
    </row>
    <row r="25" spans="1:13">
      <c r="A25" s="54">
        <f>Gen!B31</f>
        <v>43911</v>
      </c>
      <c r="B25" s="422">
        <f>'Daily report Gen'!Z26</f>
        <v>24</v>
      </c>
      <c r="C25" s="89">
        <f>Gen!C31</f>
        <v>0</v>
      </c>
      <c r="D25" s="586">
        <f t="shared" si="0"/>
        <v>0</v>
      </c>
      <c r="E25" s="76">
        <v>0</v>
      </c>
      <c r="F25" s="72">
        <f>Gen!U29</f>
        <v>2841</v>
      </c>
      <c r="G25" s="87">
        <f>Gen!T29</f>
        <v>1101.77</v>
      </c>
      <c r="H25" s="87">
        <f>Gen!AK31</f>
        <v>147.13999999999999</v>
      </c>
      <c r="I25" s="87">
        <f t="shared" si="1"/>
        <v>1248.9099999999999</v>
      </c>
      <c r="J25" s="601">
        <f>Gen!D31</f>
        <v>40423.130000000005</v>
      </c>
      <c r="K25" s="384">
        <f>'Water-Meter'!E26</f>
        <v>67</v>
      </c>
      <c r="L25" s="602">
        <f>'Lpg (2)'!G30</f>
        <v>48.707999999966709</v>
      </c>
      <c r="M25" s="81" t="e">
        <f>SUM(#REF!-#REF!)</f>
        <v>#REF!</v>
      </c>
    </row>
    <row r="26" spans="1:13">
      <c r="A26" s="54">
        <f>Gen!B32</f>
        <v>43912</v>
      </c>
      <c r="B26" s="422">
        <f>'Daily report Gen'!Z27</f>
        <v>25</v>
      </c>
      <c r="C26" s="89">
        <f>Gen!C32</f>
        <v>0</v>
      </c>
      <c r="D26" s="586">
        <f t="shared" si="0"/>
        <v>3</v>
      </c>
      <c r="E26" s="76">
        <v>3</v>
      </c>
      <c r="F26" s="72">
        <f>Gen!U30</f>
        <v>2962</v>
      </c>
      <c r="G26" s="87">
        <f>Gen!T30</f>
        <v>1196.43</v>
      </c>
      <c r="H26" s="87">
        <f>Gen!AK32</f>
        <v>0</v>
      </c>
      <c r="I26" s="87">
        <f t="shared" si="1"/>
        <v>1196.43</v>
      </c>
      <c r="J26" s="601">
        <f>Gen!D32</f>
        <v>39172.910000000003</v>
      </c>
      <c r="K26" s="384">
        <f>'Water-Meter'!E27</f>
        <v>73</v>
      </c>
      <c r="L26" s="602">
        <f>'Lpg (2)'!G31</f>
        <v>47.344000000040985</v>
      </c>
      <c r="M26" s="81" t="e">
        <f>SUM(#REF!-#REF!)</f>
        <v>#REF!</v>
      </c>
    </row>
    <row r="27" spans="1:13">
      <c r="A27" s="54">
        <f>Gen!B33</f>
        <v>43913</v>
      </c>
      <c r="B27" s="422">
        <f>'Daily report Gen'!Z28</f>
        <v>26</v>
      </c>
      <c r="C27" s="89">
        <f>Gen!C33</f>
        <v>0</v>
      </c>
      <c r="D27" s="586">
        <f t="shared" si="0"/>
        <v>3</v>
      </c>
      <c r="E27" s="76">
        <v>3</v>
      </c>
      <c r="F27" s="72">
        <f>Gen!U31</f>
        <v>2667</v>
      </c>
      <c r="G27" s="87">
        <f>Gen!T31</f>
        <v>1103.08</v>
      </c>
      <c r="H27" s="87">
        <f>Gen!AK33</f>
        <v>0</v>
      </c>
      <c r="I27" s="87">
        <f t="shared" si="1"/>
        <v>1103.08</v>
      </c>
      <c r="J27" s="601">
        <f>Gen!D33</f>
        <v>50245.16</v>
      </c>
      <c r="K27" s="384">
        <f>'Water-Meter'!E28</f>
        <v>67</v>
      </c>
      <c r="L27" s="602">
        <f>'Lpg (2)'!G32</f>
        <v>62.391999999969272</v>
      </c>
      <c r="M27" s="81" t="e">
        <f>SUM(#REF!-#REF!)</f>
        <v>#REF!</v>
      </c>
    </row>
    <row r="28" spans="1:13">
      <c r="A28" s="54">
        <f>Gen!B34</f>
        <v>43914</v>
      </c>
      <c r="B28" s="422">
        <f>'Daily report Gen'!Z29</f>
        <v>27</v>
      </c>
      <c r="C28" s="89">
        <f>Gen!C34</f>
        <v>0.02</v>
      </c>
      <c r="D28" s="586">
        <f t="shared" si="0"/>
        <v>2</v>
      </c>
      <c r="E28" s="76">
        <v>2</v>
      </c>
      <c r="F28" s="72">
        <f>Gen!U32</f>
        <v>2379</v>
      </c>
      <c r="G28" s="87">
        <f>Gen!T32</f>
        <v>927.75</v>
      </c>
      <c r="H28" s="87">
        <f>Gen!AK34</f>
        <v>249.02</v>
      </c>
      <c r="I28" s="87">
        <f t="shared" si="1"/>
        <v>1176.77</v>
      </c>
      <c r="J28" s="601">
        <f>Gen!D34</f>
        <v>49116.73</v>
      </c>
      <c r="K28" s="384">
        <f>'Water-Meter'!E29</f>
        <v>73</v>
      </c>
      <c r="L28" s="602">
        <f>'Lpg (2)'!G33</f>
        <v>59.663999999989763</v>
      </c>
      <c r="M28" s="81" t="e">
        <f>SUM(#REF!-#REF!)</f>
        <v>#REF!</v>
      </c>
    </row>
    <row r="29" spans="1:13">
      <c r="A29" s="54">
        <f>Gen!B35</f>
        <v>43915</v>
      </c>
      <c r="B29" s="422">
        <f>'Daily report Gen'!Z30</f>
        <v>30</v>
      </c>
      <c r="C29" s="89">
        <f>Gen!C35</f>
        <v>0.02</v>
      </c>
      <c r="D29" s="586">
        <f t="shared" si="0"/>
        <v>2</v>
      </c>
      <c r="E29" s="76">
        <v>2</v>
      </c>
      <c r="F29" s="72">
        <f>Gen!U33</f>
        <v>2523</v>
      </c>
      <c r="G29" s="87">
        <f>Gen!T33</f>
        <v>1128.43</v>
      </c>
      <c r="H29" s="87">
        <f>Gen!AK35</f>
        <v>14.1</v>
      </c>
      <c r="I29" s="87">
        <f t="shared" si="1"/>
        <v>1142.53</v>
      </c>
      <c r="J29" s="601">
        <f>Gen!D35</f>
        <v>47899.19</v>
      </c>
      <c r="K29" s="384">
        <f>'Water-Meter'!E30</f>
        <v>60</v>
      </c>
      <c r="L29" s="602">
        <f>'Lpg (2)'!G34</f>
        <v>32.120000000012809</v>
      </c>
      <c r="M29" s="81" t="e">
        <f>SUM(#REF!-#REF!)</f>
        <v>#REF!</v>
      </c>
    </row>
    <row r="30" spans="1:13">
      <c r="A30" s="54">
        <f>Gen!B36</f>
        <v>43916</v>
      </c>
      <c r="B30" s="422">
        <f>'Daily report Gen'!Z31</f>
        <v>25</v>
      </c>
      <c r="C30" s="89">
        <f>Gen!C36</f>
        <v>0.02</v>
      </c>
      <c r="D30" s="586">
        <f t="shared" si="0"/>
        <v>1</v>
      </c>
      <c r="E30" s="76">
        <v>1</v>
      </c>
      <c r="F30" s="72">
        <f>Gen!U34</f>
        <v>2586</v>
      </c>
      <c r="G30" s="87">
        <f>Gen!T34</f>
        <v>968.5200000000001</v>
      </c>
      <c r="H30" s="87">
        <f>Gen!AK36</f>
        <v>34.57</v>
      </c>
      <c r="I30" s="87">
        <f t="shared" si="1"/>
        <v>1003.0900000000001</v>
      </c>
      <c r="J30" s="601">
        <f>Gen!D36</f>
        <v>46832.11</v>
      </c>
      <c r="K30" s="384">
        <f>'Water-Meter'!E31</f>
        <v>50</v>
      </c>
      <c r="L30" s="602">
        <f>'Lpg (2)'!G35</f>
        <v>73.040000000025614</v>
      </c>
      <c r="M30" s="81" t="e">
        <f>SUM(#REF!-#REF!)</f>
        <v>#REF!</v>
      </c>
    </row>
    <row r="31" spans="1:13">
      <c r="A31" s="54">
        <f>Gen!B37</f>
        <v>43917</v>
      </c>
      <c r="B31" s="422">
        <f>'Daily report Gen'!Z32</f>
        <v>23</v>
      </c>
      <c r="C31" s="89">
        <f>Gen!C37</f>
        <v>0</v>
      </c>
      <c r="D31" s="586">
        <f t="shared" si="0"/>
        <v>1</v>
      </c>
      <c r="E31" s="76">
        <v>1</v>
      </c>
      <c r="F31" s="72">
        <f>Gen!U35</f>
        <v>2334</v>
      </c>
      <c r="G31" s="87">
        <f>Gen!T35</f>
        <v>1052.98</v>
      </c>
      <c r="H31" s="87">
        <f>Gen!AK37</f>
        <v>144.12</v>
      </c>
      <c r="I31" s="87">
        <f t="shared" si="1"/>
        <v>1197.0999999999999</v>
      </c>
      <c r="J31" s="601">
        <f>Gen!D37</f>
        <v>45735.46</v>
      </c>
      <c r="K31" s="384">
        <f>'Water-Meter'!E32</f>
        <v>96</v>
      </c>
      <c r="L31" s="602">
        <f>'Lpg (2)'!G36</f>
        <v>29.436000000010246</v>
      </c>
      <c r="M31" s="81" t="e">
        <f>SUM(#REF!-#REF!)</f>
        <v>#REF!</v>
      </c>
    </row>
    <row r="32" spans="1:13">
      <c r="A32" s="54">
        <f>Gen!B38</f>
        <v>43918</v>
      </c>
      <c r="B32" s="422">
        <f>'Daily report Gen'!Z33</f>
        <v>24</v>
      </c>
      <c r="C32" s="89">
        <f>Gen!C38</f>
        <v>0</v>
      </c>
      <c r="D32" s="586">
        <f t="shared" si="0"/>
        <v>1</v>
      </c>
      <c r="E32" s="76">
        <v>1</v>
      </c>
      <c r="F32" s="72">
        <f>Gen!U36</f>
        <v>2348</v>
      </c>
      <c r="G32" s="87">
        <f>Gen!T36</f>
        <v>1062.08</v>
      </c>
      <c r="H32" s="87">
        <f>Gen!AK38</f>
        <v>78.2</v>
      </c>
      <c r="I32" s="87">
        <f t="shared" si="1"/>
        <v>1140.28</v>
      </c>
      <c r="J32" s="601">
        <f>Gen!D38</f>
        <v>44633.13</v>
      </c>
      <c r="K32" s="384">
        <f>'Water-Meter'!E33</f>
        <v>32</v>
      </c>
      <c r="L32" s="602">
        <f>'Lpg (2)'!G37</f>
        <v>25.079999999987198</v>
      </c>
      <c r="M32" s="81" t="e">
        <f>SUM(#REF!-#REF!)</f>
        <v>#REF!</v>
      </c>
    </row>
    <row r="33" spans="1:13">
      <c r="A33" s="54">
        <f>Gen!B39</f>
        <v>43919</v>
      </c>
      <c r="B33" s="422">
        <f>'Daily report Gen'!Z34</f>
        <v>24</v>
      </c>
      <c r="C33" s="89">
        <f>Gen!C39</f>
        <v>0</v>
      </c>
      <c r="D33" s="586">
        <f t="shared" si="0"/>
        <v>0</v>
      </c>
      <c r="E33" s="76">
        <v>0</v>
      </c>
      <c r="F33" s="72">
        <f>Gen!U37</f>
        <v>2205</v>
      </c>
      <c r="G33" s="87">
        <f>Gen!T37</f>
        <v>958.21</v>
      </c>
      <c r="H33" s="87">
        <f>Gen!AK39</f>
        <v>0</v>
      </c>
      <c r="I33" s="87">
        <f t="shared" si="1"/>
        <v>958.21</v>
      </c>
      <c r="J33" s="601">
        <f>Gen!D39</f>
        <v>43743.67</v>
      </c>
      <c r="K33" s="384">
        <f>'Water-Meter'!E34</f>
        <v>38</v>
      </c>
      <c r="L33" s="602">
        <f>'Lpg (2)'!G38</f>
        <v>24.947999999992319</v>
      </c>
      <c r="M33" s="81" t="e">
        <f>SUM(#REF!-#REF!)</f>
        <v>#REF!</v>
      </c>
    </row>
    <row r="34" spans="1:13">
      <c r="A34" s="54">
        <f>Gen!B40</f>
        <v>43920</v>
      </c>
      <c r="B34" s="422">
        <f>'Daily report Gen'!Z35</f>
        <v>26</v>
      </c>
      <c r="C34" s="89">
        <f>Gen!C40</f>
        <v>0</v>
      </c>
      <c r="D34" s="586">
        <f t="shared" si="0"/>
        <v>0</v>
      </c>
      <c r="E34" s="76">
        <v>0</v>
      </c>
      <c r="F34" s="72">
        <f>Gen!U38</f>
        <v>1991</v>
      </c>
      <c r="G34" s="87">
        <f>Gen!T38</f>
        <v>811.26</v>
      </c>
      <c r="H34" s="87">
        <f>Gen!AK40</f>
        <v>0</v>
      </c>
      <c r="I34" s="87">
        <f t="shared" si="1"/>
        <v>811.26</v>
      </c>
      <c r="J34" s="601">
        <f>Gen!D40</f>
        <v>42904.14</v>
      </c>
      <c r="K34" s="384">
        <f>'Water-Meter'!E35</f>
        <v>46</v>
      </c>
      <c r="L34" s="602">
        <f>'Lpg (2)'!G39</f>
        <v>27.059999999974391</v>
      </c>
      <c r="M34" s="81" t="e">
        <f>SUM(#REF!-#REF!)</f>
        <v>#REF!</v>
      </c>
    </row>
    <row r="35" spans="1:13">
      <c r="A35" s="54">
        <f>Gen!B41</f>
        <v>43921</v>
      </c>
      <c r="B35" s="422">
        <f>'Daily report Gen'!Z36</f>
        <v>24</v>
      </c>
      <c r="C35" s="89">
        <f>Gen!C41</f>
        <v>0</v>
      </c>
      <c r="D35" s="586">
        <f t="shared" si="0"/>
        <v>0</v>
      </c>
      <c r="E35" s="76">
        <v>0</v>
      </c>
      <c r="F35" s="72">
        <f>Gen!U39</f>
        <v>1988</v>
      </c>
      <c r="G35" s="87">
        <f>Gen!T39</f>
        <v>839.53</v>
      </c>
      <c r="H35" s="87">
        <f>Gen!AK41</f>
        <v>0</v>
      </c>
      <c r="I35" s="87">
        <f t="shared" si="1"/>
        <v>839.53</v>
      </c>
      <c r="J35" s="601">
        <f>Gen!D41</f>
        <v>41968.78</v>
      </c>
      <c r="K35" s="384">
        <f>'Water-Meter'!E36</f>
        <v>64</v>
      </c>
      <c r="L35" s="602">
        <f>'Lpg (2)'!G40</f>
        <v>23.364000000053785</v>
      </c>
      <c r="M35" s="81" t="e">
        <f>SUM(#REF!-#REF!)</f>
        <v>#REF!</v>
      </c>
    </row>
    <row r="36" spans="1:13">
      <c r="A36" s="54">
        <f>Gen!B42</f>
        <v>43922</v>
      </c>
      <c r="B36" s="422">
        <f>'Daily report Gen'!Z37</f>
        <v>-149888</v>
      </c>
      <c r="C36" s="89">
        <f>Gen!C42</f>
        <v>0</v>
      </c>
      <c r="D36" s="586">
        <f t="shared" si="0"/>
        <v>0</v>
      </c>
      <c r="E36" s="76"/>
      <c r="F36" s="72">
        <f>Gen!U40</f>
        <v>2056</v>
      </c>
      <c r="G36" s="87">
        <f>Gen!T40</f>
        <v>935.36</v>
      </c>
      <c r="H36" s="87">
        <f>Gen!AK42</f>
        <v>0</v>
      </c>
      <c r="I36" s="87">
        <f t="shared" si="1"/>
        <v>935.36</v>
      </c>
      <c r="J36" s="601">
        <f>Gen!D42</f>
        <v>41048.869999999995</v>
      </c>
      <c r="K36" s="384" t="str">
        <f>'Water-Meter'!E37</f>
        <v>0</v>
      </c>
      <c r="L36" s="602">
        <f>'Lpg (2)'!G41</f>
        <v>24.375999999971828</v>
      </c>
    </row>
    <row r="38" spans="1:13">
      <c r="B38" s="85"/>
      <c r="D38" s="89"/>
    </row>
    <row r="39" spans="1:13">
      <c r="B39" s="85"/>
      <c r="C39" s="85"/>
    </row>
  </sheetData>
  <mergeCells count="1">
    <mergeCell ref="A2:E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topLeftCell="C16" workbookViewId="0">
      <selection activeCell="H34" sqref="H34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01">
        <v>43891</v>
      </c>
      <c r="B1" s="802"/>
      <c r="C1" s="802"/>
      <c r="D1" s="802"/>
      <c r="E1" s="802"/>
      <c r="F1" s="802"/>
      <c r="G1" s="802"/>
      <c r="H1" s="802"/>
      <c r="I1" s="802"/>
      <c r="J1" s="802"/>
      <c r="K1" s="802"/>
      <c r="L1" s="802"/>
      <c r="M1" s="802"/>
      <c r="N1" s="802"/>
      <c r="O1" s="802"/>
      <c r="P1" s="802"/>
      <c r="Q1" s="802"/>
      <c r="R1" s="802"/>
      <c r="S1" s="802"/>
      <c r="T1" s="802"/>
      <c r="U1" s="802"/>
      <c r="V1" s="802"/>
      <c r="W1" s="802"/>
      <c r="X1" s="802"/>
      <c r="Y1" s="802"/>
      <c r="Z1" s="802"/>
      <c r="AA1" s="802"/>
      <c r="AB1" s="802"/>
      <c r="AC1" s="20"/>
    </row>
    <row r="2" spans="1:29" ht="12" customHeight="1" thickBot="1">
      <c r="A2" s="802"/>
      <c r="B2" s="802"/>
      <c r="C2" s="802"/>
      <c r="D2" s="802"/>
      <c r="E2" s="802"/>
      <c r="F2" s="802"/>
      <c r="G2" s="802"/>
      <c r="H2" s="802"/>
      <c r="I2" s="802"/>
      <c r="J2" s="802"/>
      <c r="K2" s="802"/>
      <c r="L2" s="802"/>
      <c r="M2" s="802"/>
      <c r="N2" s="802"/>
      <c r="O2" s="802"/>
      <c r="P2" s="802"/>
      <c r="Q2" s="802"/>
      <c r="R2" s="802"/>
      <c r="S2" s="802"/>
      <c r="T2" s="802"/>
      <c r="U2" s="802"/>
      <c r="V2" s="802"/>
      <c r="W2" s="802"/>
      <c r="X2" s="802"/>
      <c r="Y2" s="802"/>
      <c r="Z2" s="802"/>
      <c r="AA2" s="802"/>
      <c r="AB2" s="802"/>
      <c r="AC2" s="20"/>
    </row>
    <row r="3" spans="1:29" ht="27.75" customHeight="1" thickBot="1">
      <c r="A3" s="20"/>
      <c r="B3" s="20"/>
      <c r="C3" s="20"/>
      <c r="D3" s="20"/>
      <c r="E3" s="20"/>
      <c r="F3" s="20"/>
      <c r="G3" s="20"/>
      <c r="H3" s="20"/>
      <c r="I3" s="40"/>
      <c r="J3" s="20"/>
      <c r="K3" s="803" t="s">
        <v>299</v>
      </c>
      <c r="L3" s="804"/>
      <c r="M3" s="805"/>
      <c r="N3" s="803" t="s">
        <v>300</v>
      </c>
      <c r="O3" s="804"/>
      <c r="P3" s="805"/>
      <c r="Q3" s="803" t="s">
        <v>301</v>
      </c>
      <c r="R3" s="804"/>
      <c r="S3" s="805"/>
      <c r="T3" s="803" t="s">
        <v>302</v>
      </c>
      <c r="U3" s="804"/>
      <c r="V3" s="805"/>
      <c r="W3" s="803" t="s">
        <v>303</v>
      </c>
      <c r="X3" s="804"/>
      <c r="Y3" s="805"/>
      <c r="Z3" s="396"/>
      <c r="AA3" s="20"/>
      <c r="AB3" s="20"/>
      <c r="AC3" s="20"/>
    </row>
    <row r="4" spans="1:29" ht="35.25" customHeight="1" thickBot="1">
      <c r="A4" s="343" t="s">
        <v>87</v>
      </c>
      <c r="B4" s="441" t="s">
        <v>88</v>
      </c>
      <c r="C4" s="441" t="s">
        <v>89</v>
      </c>
      <c r="D4" s="441" t="s">
        <v>90</v>
      </c>
      <c r="E4" s="441" t="s">
        <v>91</v>
      </c>
      <c r="F4" s="441" t="s">
        <v>243</v>
      </c>
      <c r="G4" s="442" t="s">
        <v>92</v>
      </c>
      <c r="H4" s="441" t="s">
        <v>93</v>
      </c>
      <c r="I4" s="442" t="s">
        <v>94</v>
      </c>
      <c r="J4" s="443" t="s">
        <v>95</v>
      </c>
      <c r="K4" s="444" t="s">
        <v>193</v>
      </c>
      <c r="L4" s="442" t="s">
        <v>194</v>
      </c>
      <c r="M4" s="442" t="s">
        <v>204</v>
      </c>
      <c r="N4" s="444" t="s">
        <v>193</v>
      </c>
      <c r="O4" s="442" t="s">
        <v>194</v>
      </c>
      <c r="P4" s="442" t="s">
        <v>204</v>
      </c>
      <c r="Q4" s="444" t="s">
        <v>193</v>
      </c>
      <c r="R4" s="442" t="s">
        <v>194</v>
      </c>
      <c r="S4" s="442" t="s">
        <v>204</v>
      </c>
      <c r="T4" s="444" t="s">
        <v>193</v>
      </c>
      <c r="U4" s="442" t="s">
        <v>194</v>
      </c>
      <c r="V4" s="442" t="s">
        <v>204</v>
      </c>
      <c r="W4" s="444" t="s">
        <v>193</v>
      </c>
      <c r="X4" s="442" t="s">
        <v>194</v>
      </c>
      <c r="Y4" s="443" t="s">
        <v>204</v>
      </c>
      <c r="Z4" s="445" t="s">
        <v>195</v>
      </c>
      <c r="AA4" s="441" t="s">
        <v>175</v>
      </c>
      <c r="AB4" s="446" t="s">
        <v>96</v>
      </c>
      <c r="AC4" s="447" t="s">
        <v>197</v>
      </c>
    </row>
    <row r="5" spans="1:29" ht="18.75" customHeight="1">
      <c r="A5" s="438"/>
      <c r="B5" s="440"/>
      <c r="C5" s="440"/>
      <c r="D5" s="440"/>
      <c r="E5" s="440"/>
      <c r="F5" s="440"/>
      <c r="G5" s="440"/>
      <c r="H5" s="440"/>
      <c r="I5" s="398">
        <v>30353.1</v>
      </c>
      <c r="J5" s="398">
        <v>20053.3</v>
      </c>
      <c r="K5" s="633"/>
      <c r="L5" s="398">
        <v>34167</v>
      </c>
      <c r="M5" s="633"/>
      <c r="N5" s="398"/>
      <c r="O5" s="398">
        <v>28987</v>
      </c>
      <c r="P5" s="439"/>
      <c r="Q5" s="398"/>
      <c r="R5" s="398">
        <v>34454</v>
      </c>
      <c r="S5" s="439"/>
      <c r="T5" s="398"/>
      <c r="U5" s="398">
        <v>31825</v>
      </c>
      <c r="V5" s="439"/>
      <c r="W5" s="398"/>
      <c r="X5" s="398">
        <v>19493</v>
      </c>
      <c r="Y5" s="439"/>
      <c r="Z5" s="439"/>
      <c r="AA5" s="127"/>
      <c r="AB5" s="127"/>
      <c r="AC5" s="439"/>
    </row>
    <row r="6" spans="1:29" ht="20.100000000000001" customHeight="1">
      <c r="A6" s="342">
        <f>Gen!B11</f>
        <v>43891</v>
      </c>
      <c r="B6" s="440">
        <f>Gen!C11</f>
        <v>0.57140000000000002</v>
      </c>
      <c r="C6" s="398">
        <v>15201.16</v>
      </c>
      <c r="D6" s="398">
        <v>16921.21</v>
      </c>
      <c r="E6" s="398"/>
      <c r="F6" s="398"/>
      <c r="G6" s="398">
        <v>321.77</v>
      </c>
      <c r="H6" s="398"/>
      <c r="I6" s="398">
        <v>30362.7</v>
      </c>
      <c r="J6" s="398">
        <v>20059.8</v>
      </c>
      <c r="K6" s="397">
        <f>L5</f>
        <v>34167</v>
      </c>
      <c r="L6" s="398">
        <v>34176</v>
      </c>
      <c r="M6" s="397">
        <f>L6-K6</f>
        <v>9</v>
      </c>
      <c r="N6" s="399">
        <f>O5</f>
        <v>28987</v>
      </c>
      <c r="O6" s="398">
        <v>28994</v>
      </c>
      <c r="P6" s="397">
        <f>O6-N6</f>
        <v>7</v>
      </c>
      <c r="Q6" s="397">
        <f>R5</f>
        <v>34454</v>
      </c>
      <c r="R6" s="398">
        <v>34461</v>
      </c>
      <c r="S6" s="397">
        <f>R6-Q6</f>
        <v>7</v>
      </c>
      <c r="T6" s="397">
        <f>U5</f>
        <v>31825</v>
      </c>
      <c r="U6" s="398">
        <v>31834</v>
      </c>
      <c r="V6" s="397">
        <f>U6-T6</f>
        <v>9</v>
      </c>
      <c r="W6" s="399">
        <f>X5</f>
        <v>19493</v>
      </c>
      <c r="X6" s="398">
        <v>19501</v>
      </c>
      <c r="Y6" s="397">
        <f>X6-W6</f>
        <v>8</v>
      </c>
      <c r="Z6" s="400">
        <f>Y6+V6+S6+P6+M6</f>
        <v>40</v>
      </c>
      <c r="AA6" s="127">
        <v>469</v>
      </c>
      <c r="AB6" s="127">
        <v>214</v>
      </c>
      <c r="AC6" s="347">
        <f>Gen!T11</f>
        <v>2246.69</v>
      </c>
    </row>
    <row r="7" spans="1:29" ht="20.100000000000001" customHeight="1">
      <c r="A7" s="342">
        <f>Gen!B12</f>
        <v>43892</v>
      </c>
      <c r="B7" s="440">
        <f>Gen!C12</f>
        <v>0.2208</v>
      </c>
      <c r="C7" s="398">
        <v>25232.7</v>
      </c>
      <c r="D7" s="398">
        <v>22921.21</v>
      </c>
      <c r="E7" s="398"/>
      <c r="F7" s="398">
        <v>18000</v>
      </c>
      <c r="G7" s="398">
        <v>281.33999999999997</v>
      </c>
      <c r="H7" s="398"/>
      <c r="I7" s="398">
        <v>30371.7</v>
      </c>
      <c r="J7" s="398">
        <v>20065.5</v>
      </c>
      <c r="K7" s="397">
        <f t="shared" ref="K7:K37" si="0">L6</f>
        <v>34176</v>
      </c>
      <c r="L7" s="398">
        <v>34184</v>
      </c>
      <c r="M7" s="397">
        <f t="shared" ref="M7:M37" si="1">L7-K7</f>
        <v>8</v>
      </c>
      <c r="N7" s="399">
        <f t="shared" ref="N7:N37" si="2">O6</f>
        <v>28994</v>
      </c>
      <c r="O7" s="398">
        <v>29001</v>
      </c>
      <c r="P7" s="397">
        <f t="shared" ref="P7:P37" si="3">O7-N7</f>
        <v>7</v>
      </c>
      <c r="Q7" s="397">
        <f t="shared" ref="Q7:Q37" si="4">R6</f>
        <v>34461</v>
      </c>
      <c r="R7" s="398">
        <v>34469</v>
      </c>
      <c r="S7" s="397">
        <f t="shared" ref="S7:S37" si="5">R7-Q7</f>
        <v>8</v>
      </c>
      <c r="T7" s="397">
        <f t="shared" ref="T7:T37" si="6">U6</f>
        <v>31834</v>
      </c>
      <c r="U7" s="398">
        <v>31843</v>
      </c>
      <c r="V7" s="397">
        <f t="shared" ref="V7:V37" si="7">U7-T7</f>
        <v>9</v>
      </c>
      <c r="W7" s="399">
        <f t="shared" ref="W7:W37" si="8">X6</f>
        <v>19501</v>
      </c>
      <c r="X7" s="398">
        <v>19509</v>
      </c>
      <c r="Y7" s="397">
        <f t="shared" ref="Y7:Y37" si="9">X7-W7</f>
        <v>8</v>
      </c>
      <c r="Z7" s="400">
        <f t="shared" ref="Z7:Z37" si="10">Y7+V7+S7+P7+M7</f>
        <v>40</v>
      </c>
      <c r="AA7" s="127">
        <v>412</v>
      </c>
      <c r="AB7" s="127">
        <v>200</v>
      </c>
      <c r="AC7" s="347">
        <f>Gen!T12</f>
        <v>2125.4799999999996</v>
      </c>
    </row>
    <row r="8" spans="1:29" ht="20.100000000000001" customHeight="1">
      <c r="A8" s="342">
        <f>Gen!B13</f>
        <v>43893</v>
      </c>
      <c r="B8" s="440">
        <f>Gen!C13</f>
        <v>0.1429</v>
      </c>
      <c r="C8" s="398">
        <v>23096.32</v>
      </c>
      <c r="D8" s="398">
        <v>22921.21</v>
      </c>
      <c r="E8" s="398"/>
      <c r="F8" s="398"/>
      <c r="G8" s="398">
        <v>55.1</v>
      </c>
      <c r="H8" s="398"/>
      <c r="I8" s="398">
        <v>30381.1</v>
      </c>
      <c r="J8" s="398">
        <v>20071.099999999999</v>
      </c>
      <c r="K8" s="397">
        <f t="shared" si="0"/>
        <v>34184</v>
      </c>
      <c r="L8" s="398">
        <v>34192</v>
      </c>
      <c r="M8" s="397">
        <f t="shared" si="1"/>
        <v>8</v>
      </c>
      <c r="N8" s="399">
        <f t="shared" si="2"/>
        <v>29001</v>
      </c>
      <c r="O8" s="398">
        <v>29009</v>
      </c>
      <c r="P8" s="397">
        <f t="shared" si="3"/>
        <v>8</v>
      </c>
      <c r="Q8" s="397">
        <f t="shared" si="4"/>
        <v>34469</v>
      </c>
      <c r="R8" s="398">
        <v>34480</v>
      </c>
      <c r="S8" s="397">
        <f t="shared" si="5"/>
        <v>11</v>
      </c>
      <c r="T8" s="397">
        <f t="shared" si="6"/>
        <v>31843</v>
      </c>
      <c r="U8" s="398">
        <v>31852</v>
      </c>
      <c r="V8" s="397">
        <f t="shared" si="7"/>
        <v>9</v>
      </c>
      <c r="W8" s="399">
        <f t="shared" si="8"/>
        <v>19509</v>
      </c>
      <c r="X8" s="398">
        <v>19515</v>
      </c>
      <c r="Y8" s="397">
        <f t="shared" si="9"/>
        <v>6</v>
      </c>
      <c r="Z8" s="400">
        <f t="shared" si="10"/>
        <v>42</v>
      </c>
      <c r="AA8" s="127">
        <v>431</v>
      </c>
      <c r="AB8" s="127">
        <v>201</v>
      </c>
      <c r="AC8" s="347">
        <f>Gen!T13</f>
        <v>2081.2800000000002</v>
      </c>
    </row>
    <row r="9" spans="1:29" ht="20.100000000000001" customHeight="1">
      <c r="A9" s="342">
        <f>Gen!B14</f>
        <v>43894</v>
      </c>
      <c r="B9" s="440">
        <f>Gen!C14</f>
        <v>1</v>
      </c>
      <c r="C9" s="398">
        <v>20269.89</v>
      </c>
      <c r="D9" s="398">
        <v>22921.21</v>
      </c>
      <c r="E9" s="398"/>
      <c r="F9" s="398"/>
      <c r="G9" s="398">
        <v>149.94</v>
      </c>
      <c r="H9" s="398"/>
      <c r="I9" s="398">
        <v>30392.1</v>
      </c>
      <c r="J9" s="398">
        <v>20077.900000000001</v>
      </c>
      <c r="K9" s="397">
        <f t="shared" si="0"/>
        <v>34192</v>
      </c>
      <c r="L9" s="398">
        <v>34204</v>
      </c>
      <c r="M9" s="397">
        <f t="shared" si="1"/>
        <v>12</v>
      </c>
      <c r="N9" s="399">
        <f t="shared" si="2"/>
        <v>29009</v>
      </c>
      <c r="O9" s="398">
        <v>29015</v>
      </c>
      <c r="P9" s="397">
        <f t="shared" si="3"/>
        <v>6</v>
      </c>
      <c r="Q9" s="397">
        <f t="shared" si="4"/>
        <v>34480</v>
      </c>
      <c r="R9" s="398">
        <v>34486</v>
      </c>
      <c r="S9" s="397">
        <f t="shared" si="5"/>
        <v>6</v>
      </c>
      <c r="T9" s="397">
        <f t="shared" si="6"/>
        <v>31852</v>
      </c>
      <c r="U9" s="398">
        <v>31863</v>
      </c>
      <c r="V9" s="397">
        <f t="shared" si="7"/>
        <v>11</v>
      </c>
      <c r="W9" s="399">
        <f t="shared" si="8"/>
        <v>19515</v>
      </c>
      <c r="X9" s="398">
        <v>19522</v>
      </c>
      <c r="Y9" s="397">
        <f t="shared" si="9"/>
        <v>7</v>
      </c>
      <c r="Z9" s="400">
        <f t="shared" si="10"/>
        <v>42</v>
      </c>
      <c r="AA9" s="127">
        <v>467</v>
      </c>
      <c r="AB9" s="127">
        <v>216</v>
      </c>
      <c r="AC9" s="347">
        <f>Gen!T14</f>
        <v>2421.29</v>
      </c>
    </row>
    <row r="10" spans="1:29" ht="20.100000000000001" customHeight="1">
      <c r="A10" s="342">
        <f>Gen!B15</f>
        <v>43895</v>
      </c>
      <c r="B10" s="440">
        <f>Gen!C15</f>
        <v>1</v>
      </c>
      <c r="C10" s="398">
        <v>17698.740000000002</v>
      </c>
      <c r="D10" s="398">
        <v>22921.21</v>
      </c>
      <c r="E10" s="398"/>
      <c r="F10" s="398"/>
      <c r="G10" s="398">
        <v>44.9</v>
      </c>
      <c r="H10" s="398"/>
      <c r="I10" s="398">
        <v>30402.799999999999</v>
      </c>
      <c r="J10" s="398">
        <v>20085.900000000001</v>
      </c>
      <c r="K10" s="397">
        <f t="shared" si="0"/>
        <v>34204</v>
      </c>
      <c r="L10" s="398">
        <v>34217</v>
      </c>
      <c r="M10" s="397">
        <f t="shared" si="1"/>
        <v>13</v>
      </c>
      <c r="N10" s="399">
        <f t="shared" si="2"/>
        <v>29015</v>
      </c>
      <c r="O10" s="398">
        <v>29020</v>
      </c>
      <c r="P10" s="397">
        <f t="shared" si="3"/>
        <v>5</v>
      </c>
      <c r="Q10" s="397">
        <f t="shared" si="4"/>
        <v>34486</v>
      </c>
      <c r="R10" s="398">
        <v>34497</v>
      </c>
      <c r="S10" s="397">
        <f t="shared" si="5"/>
        <v>11</v>
      </c>
      <c r="T10" s="397">
        <f t="shared" si="6"/>
        <v>31863</v>
      </c>
      <c r="U10" s="398">
        <v>31870</v>
      </c>
      <c r="V10" s="397">
        <f t="shared" si="7"/>
        <v>7</v>
      </c>
      <c r="W10" s="399">
        <f t="shared" si="8"/>
        <v>19522</v>
      </c>
      <c r="X10" s="398">
        <v>19528</v>
      </c>
      <c r="Y10" s="397">
        <f t="shared" si="9"/>
        <v>6</v>
      </c>
      <c r="Z10" s="400">
        <f t="shared" si="10"/>
        <v>42</v>
      </c>
      <c r="AA10" s="127">
        <v>520</v>
      </c>
      <c r="AB10" s="127">
        <v>230</v>
      </c>
      <c r="AC10" s="347">
        <f>Gen!T15</f>
        <v>2590.17</v>
      </c>
    </row>
    <row r="11" spans="1:29" ht="20.100000000000001" customHeight="1">
      <c r="A11" s="342">
        <f>Gen!B16</f>
        <v>43896</v>
      </c>
      <c r="B11" s="440">
        <f>Gen!C16</f>
        <v>1</v>
      </c>
      <c r="C11" s="398">
        <v>15063.56</v>
      </c>
      <c r="D11" s="398">
        <v>22921.21</v>
      </c>
      <c r="E11" s="398"/>
      <c r="F11" s="398"/>
      <c r="G11" s="398">
        <v>75.03</v>
      </c>
      <c r="H11" s="398"/>
      <c r="I11" s="398">
        <v>30413.599999999999</v>
      </c>
      <c r="J11" s="398">
        <v>20093.7</v>
      </c>
      <c r="K11" s="397">
        <f t="shared" si="0"/>
        <v>34217</v>
      </c>
      <c r="L11" s="398">
        <v>34229</v>
      </c>
      <c r="M11" s="397">
        <f t="shared" si="1"/>
        <v>12</v>
      </c>
      <c r="N11" s="399">
        <f t="shared" si="2"/>
        <v>29020</v>
      </c>
      <c r="O11" s="398">
        <v>29028</v>
      </c>
      <c r="P11" s="397">
        <f t="shared" si="3"/>
        <v>8</v>
      </c>
      <c r="Q11" s="397">
        <f t="shared" si="4"/>
        <v>34497</v>
      </c>
      <c r="R11" s="398">
        <v>34509</v>
      </c>
      <c r="S11" s="397">
        <f t="shared" si="5"/>
        <v>12</v>
      </c>
      <c r="T11" s="397">
        <f t="shared" si="6"/>
        <v>31870</v>
      </c>
      <c r="U11" s="398">
        <v>31877</v>
      </c>
      <c r="V11" s="397">
        <f t="shared" si="7"/>
        <v>7</v>
      </c>
      <c r="W11" s="399">
        <f t="shared" si="8"/>
        <v>19528</v>
      </c>
      <c r="X11" s="398">
        <v>19540</v>
      </c>
      <c r="Y11" s="397">
        <f t="shared" si="9"/>
        <v>12</v>
      </c>
      <c r="Z11" s="400">
        <f t="shared" si="10"/>
        <v>51</v>
      </c>
      <c r="AA11" s="127">
        <v>531</v>
      </c>
      <c r="AB11" s="127">
        <v>240</v>
      </c>
      <c r="AC11" s="347">
        <f>Gen!T16</f>
        <v>2694.18</v>
      </c>
    </row>
    <row r="12" spans="1:29" ht="20.100000000000001" customHeight="1">
      <c r="A12" s="342">
        <f>Gen!B17</f>
        <v>43897</v>
      </c>
      <c r="B12" s="440">
        <f>Gen!C17</f>
        <v>1</v>
      </c>
      <c r="C12" s="398">
        <v>27294.35</v>
      </c>
      <c r="D12" s="398">
        <v>22921.21</v>
      </c>
      <c r="E12" s="398"/>
      <c r="F12" s="398">
        <v>15000</v>
      </c>
      <c r="G12" s="398">
        <v>87.26</v>
      </c>
      <c r="H12" s="398"/>
      <c r="I12" s="398">
        <v>30425.599999999999</v>
      </c>
      <c r="J12" s="398">
        <v>20102.400000000001</v>
      </c>
      <c r="K12" s="397">
        <f t="shared" si="0"/>
        <v>34229</v>
      </c>
      <c r="L12" s="398">
        <v>34239</v>
      </c>
      <c r="M12" s="397">
        <f t="shared" si="1"/>
        <v>10</v>
      </c>
      <c r="N12" s="399">
        <f t="shared" si="2"/>
        <v>29028</v>
      </c>
      <c r="O12" s="398">
        <v>29035</v>
      </c>
      <c r="P12" s="397">
        <f t="shared" si="3"/>
        <v>7</v>
      </c>
      <c r="Q12" s="397">
        <f t="shared" si="4"/>
        <v>34509</v>
      </c>
      <c r="R12" s="398">
        <v>34517</v>
      </c>
      <c r="S12" s="397">
        <f t="shared" si="5"/>
        <v>8</v>
      </c>
      <c r="T12" s="397">
        <f t="shared" si="6"/>
        <v>31877</v>
      </c>
      <c r="U12" s="398">
        <v>31887</v>
      </c>
      <c r="V12" s="397">
        <f t="shared" si="7"/>
        <v>10</v>
      </c>
      <c r="W12" s="399">
        <f t="shared" si="8"/>
        <v>19540</v>
      </c>
      <c r="X12" s="398">
        <v>19548</v>
      </c>
      <c r="Y12" s="397">
        <f t="shared" si="9"/>
        <v>8</v>
      </c>
      <c r="Z12" s="400">
        <f t="shared" si="10"/>
        <v>43</v>
      </c>
      <c r="AA12" s="127">
        <v>536</v>
      </c>
      <c r="AB12" s="127">
        <v>198</v>
      </c>
      <c r="AC12" s="347">
        <f>Gen!T17</f>
        <v>2914.3</v>
      </c>
    </row>
    <row r="13" spans="1:29" ht="20.100000000000001" customHeight="1">
      <c r="A13" s="342">
        <f>Gen!B18</f>
        <v>43898</v>
      </c>
      <c r="B13" s="440">
        <f>Gen!C18</f>
        <v>0.59740000000000004</v>
      </c>
      <c r="C13" s="398">
        <v>24292.79</v>
      </c>
      <c r="D13" s="398">
        <v>22921.21</v>
      </c>
      <c r="E13" s="398"/>
      <c r="F13" s="398"/>
      <c r="G13" s="398">
        <v>424.4</v>
      </c>
      <c r="H13" s="398"/>
      <c r="I13" s="398">
        <v>30436.5</v>
      </c>
      <c r="J13" s="398">
        <v>20109.5</v>
      </c>
      <c r="K13" s="397">
        <f t="shared" si="0"/>
        <v>34239</v>
      </c>
      <c r="L13" s="398">
        <v>34247</v>
      </c>
      <c r="M13" s="397">
        <f t="shared" si="1"/>
        <v>8</v>
      </c>
      <c r="N13" s="399">
        <f t="shared" si="2"/>
        <v>29035</v>
      </c>
      <c r="O13" s="398">
        <v>29044</v>
      </c>
      <c r="P13" s="397">
        <f t="shared" si="3"/>
        <v>9</v>
      </c>
      <c r="Q13" s="397">
        <f t="shared" si="4"/>
        <v>34517</v>
      </c>
      <c r="R13" s="398">
        <v>34527</v>
      </c>
      <c r="S13" s="397">
        <f t="shared" si="5"/>
        <v>10</v>
      </c>
      <c r="T13" s="397">
        <f t="shared" si="6"/>
        <v>31887</v>
      </c>
      <c r="U13" s="398">
        <v>31893</v>
      </c>
      <c r="V13" s="397">
        <f t="shared" si="7"/>
        <v>6</v>
      </c>
      <c r="W13" s="399">
        <f t="shared" si="8"/>
        <v>19548</v>
      </c>
      <c r="X13" s="398">
        <v>19560</v>
      </c>
      <c r="Y13" s="397">
        <f t="shared" si="9"/>
        <v>12</v>
      </c>
      <c r="Z13" s="400">
        <f t="shared" si="10"/>
        <v>45</v>
      </c>
      <c r="AA13" s="127">
        <v>462</v>
      </c>
      <c r="AB13" s="127">
        <v>230</v>
      </c>
      <c r="AC13" s="347">
        <f>Gen!T18</f>
        <v>2683.84</v>
      </c>
    </row>
    <row r="14" spans="1:29" ht="20.100000000000001" customHeight="1">
      <c r="A14" s="342">
        <f>Gen!B19</f>
        <v>43899</v>
      </c>
      <c r="B14" s="440">
        <f>Gen!C19</f>
        <v>0.57140000000000002</v>
      </c>
      <c r="C14" s="398">
        <v>21184.55</v>
      </c>
      <c r="D14" s="398">
        <v>22921.21</v>
      </c>
      <c r="E14" s="398"/>
      <c r="F14" s="398"/>
      <c r="G14" s="398">
        <v>170.84</v>
      </c>
      <c r="H14" s="398"/>
      <c r="I14" s="398">
        <v>30445.8</v>
      </c>
      <c r="J14" s="398">
        <v>20116.099999999999</v>
      </c>
      <c r="K14" s="397">
        <f t="shared" si="0"/>
        <v>34247</v>
      </c>
      <c r="L14" s="398">
        <v>34255</v>
      </c>
      <c r="M14" s="397">
        <f t="shared" si="1"/>
        <v>8</v>
      </c>
      <c r="N14" s="399">
        <f t="shared" si="2"/>
        <v>29044</v>
      </c>
      <c r="O14" s="398">
        <v>29054</v>
      </c>
      <c r="P14" s="397">
        <f t="shared" si="3"/>
        <v>10</v>
      </c>
      <c r="Q14" s="397">
        <f t="shared" si="4"/>
        <v>34527</v>
      </c>
      <c r="R14" s="398">
        <v>34536</v>
      </c>
      <c r="S14" s="397">
        <f t="shared" si="5"/>
        <v>9</v>
      </c>
      <c r="T14" s="397">
        <f t="shared" si="6"/>
        <v>31893</v>
      </c>
      <c r="U14" s="398">
        <v>31902</v>
      </c>
      <c r="V14" s="397">
        <f t="shared" si="7"/>
        <v>9</v>
      </c>
      <c r="W14" s="399">
        <f t="shared" si="8"/>
        <v>19560</v>
      </c>
      <c r="X14" s="398">
        <v>19568</v>
      </c>
      <c r="Y14" s="397">
        <f t="shared" si="9"/>
        <v>8</v>
      </c>
      <c r="Z14" s="400">
        <f t="shared" si="10"/>
        <v>44</v>
      </c>
      <c r="AA14" s="127">
        <v>466</v>
      </c>
      <c r="AB14" s="127">
        <v>204</v>
      </c>
      <c r="AC14" s="347">
        <f>Gen!T19</f>
        <v>2232.9499999999998</v>
      </c>
    </row>
    <row r="15" spans="1:29" ht="20.100000000000001" customHeight="1">
      <c r="A15" s="342">
        <f>Gen!B20</f>
        <v>43900</v>
      </c>
      <c r="B15" s="440">
        <f>Gen!C20</f>
        <v>0.58440000000000003</v>
      </c>
      <c r="C15" s="398">
        <v>19022.27</v>
      </c>
      <c r="D15" s="398">
        <v>22921.21</v>
      </c>
      <c r="E15" s="398"/>
      <c r="F15" s="398"/>
      <c r="G15" s="398">
        <v>33.880000000000003</v>
      </c>
      <c r="H15" s="398"/>
      <c r="I15" s="398">
        <v>30455.1</v>
      </c>
      <c r="J15" s="398">
        <v>20122.5</v>
      </c>
      <c r="K15" s="397">
        <f t="shared" si="0"/>
        <v>34255</v>
      </c>
      <c r="L15" s="398">
        <v>34267</v>
      </c>
      <c r="M15" s="397">
        <f t="shared" si="1"/>
        <v>12</v>
      </c>
      <c r="N15" s="399">
        <f t="shared" si="2"/>
        <v>29054</v>
      </c>
      <c r="O15" s="398">
        <v>29060</v>
      </c>
      <c r="P15" s="397">
        <f t="shared" si="3"/>
        <v>6</v>
      </c>
      <c r="Q15" s="397">
        <f t="shared" si="4"/>
        <v>34536</v>
      </c>
      <c r="R15" s="398">
        <v>34542</v>
      </c>
      <c r="S15" s="397">
        <f t="shared" si="5"/>
        <v>6</v>
      </c>
      <c r="T15" s="397">
        <f t="shared" si="6"/>
        <v>31902</v>
      </c>
      <c r="U15" s="398">
        <v>31909</v>
      </c>
      <c r="V15" s="397">
        <f t="shared" si="7"/>
        <v>7</v>
      </c>
      <c r="W15" s="399">
        <f t="shared" si="8"/>
        <v>19568</v>
      </c>
      <c r="X15" s="398">
        <v>19579</v>
      </c>
      <c r="Y15" s="397">
        <f t="shared" si="9"/>
        <v>11</v>
      </c>
      <c r="Z15" s="400">
        <f t="shared" si="10"/>
        <v>42</v>
      </c>
      <c r="AA15" s="127">
        <v>412</v>
      </c>
      <c r="AB15" s="127">
        <v>198</v>
      </c>
      <c r="AC15" s="347">
        <f>Gen!T20</f>
        <v>2128.3999999999996</v>
      </c>
    </row>
    <row r="16" spans="1:29" ht="20.100000000000001" customHeight="1">
      <c r="A16" s="342">
        <f>Gen!B21</f>
        <v>43901</v>
      </c>
      <c r="B16" s="440">
        <f>Gen!C21</f>
        <v>3.9E-2</v>
      </c>
      <c r="C16" s="398">
        <v>16618.48</v>
      </c>
      <c r="D16" s="398">
        <v>22921.21</v>
      </c>
      <c r="E16" s="398"/>
      <c r="F16" s="398"/>
      <c r="G16" s="398">
        <v>204.77</v>
      </c>
      <c r="H16" s="398"/>
      <c r="I16" s="398">
        <v>30462.2</v>
      </c>
      <c r="J16" s="398">
        <v>20127.900000000001</v>
      </c>
      <c r="K16" s="397">
        <f t="shared" si="0"/>
        <v>34267</v>
      </c>
      <c r="L16" s="398">
        <v>34275</v>
      </c>
      <c r="M16" s="397">
        <f t="shared" si="1"/>
        <v>8</v>
      </c>
      <c r="N16" s="399">
        <f t="shared" si="2"/>
        <v>29060</v>
      </c>
      <c r="O16" s="398">
        <v>29066</v>
      </c>
      <c r="P16" s="397">
        <f t="shared" si="3"/>
        <v>6</v>
      </c>
      <c r="Q16" s="397">
        <f t="shared" si="4"/>
        <v>34542</v>
      </c>
      <c r="R16" s="398">
        <v>34550</v>
      </c>
      <c r="S16" s="397">
        <f t="shared" si="5"/>
        <v>8</v>
      </c>
      <c r="T16" s="397">
        <f t="shared" si="6"/>
        <v>31909</v>
      </c>
      <c r="U16" s="398">
        <v>31911</v>
      </c>
      <c r="V16" s="397">
        <f t="shared" si="7"/>
        <v>2</v>
      </c>
      <c r="W16" s="399">
        <f t="shared" si="8"/>
        <v>19579</v>
      </c>
      <c r="X16" s="398">
        <v>19586</v>
      </c>
      <c r="Y16" s="397">
        <f t="shared" si="9"/>
        <v>7</v>
      </c>
      <c r="Z16" s="400">
        <f t="shared" si="10"/>
        <v>31</v>
      </c>
      <c r="AA16" s="127">
        <v>396</v>
      </c>
      <c r="AB16" s="127">
        <v>187</v>
      </c>
      <c r="AC16" s="347">
        <f>Gen!T21</f>
        <v>1707.85</v>
      </c>
    </row>
    <row r="17" spans="1:29" ht="20.100000000000001" customHeight="1">
      <c r="A17" s="342">
        <f>Gen!B22</f>
        <v>43902</v>
      </c>
      <c r="B17" s="440">
        <f>Gen!C22</f>
        <v>3.9E-2</v>
      </c>
      <c r="C17" s="398">
        <v>14705.86</v>
      </c>
      <c r="D17" s="398">
        <v>22921.21</v>
      </c>
      <c r="E17" s="681"/>
      <c r="F17" s="398"/>
      <c r="G17" s="398">
        <v>106.07</v>
      </c>
      <c r="H17" s="398"/>
      <c r="I17" s="398">
        <v>30468.799999999999</v>
      </c>
      <c r="J17" s="398">
        <v>20132.900000000001</v>
      </c>
      <c r="K17" s="397">
        <f t="shared" si="0"/>
        <v>34275</v>
      </c>
      <c r="L17" s="398">
        <v>34275</v>
      </c>
      <c r="M17" s="397">
        <f t="shared" si="1"/>
        <v>0</v>
      </c>
      <c r="N17" s="399">
        <f t="shared" si="2"/>
        <v>29066</v>
      </c>
      <c r="O17" s="398">
        <v>29073</v>
      </c>
      <c r="P17" s="397">
        <f t="shared" si="3"/>
        <v>7</v>
      </c>
      <c r="Q17" s="397">
        <f t="shared" si="4"/>
        <v>34550</v>
      </c>
      <c r="R17" s="398">
        <v>34555</v>
      </c>
      <c r="S17" s="397">
        <f t="shared" si="5"/>
        <v>5</v>
      </c>
      <c r="T17" s="397">
        <f t="shared" si="6"/>
        <v>31911</v>
      </c>
      <c r="U17" s="398">
        <v>31917</v>
      </c>
      <c r="V17" s="397">
        <f t="shared" si="7"/>
        <v>6</v>
      </c>
      <c r="W17" s="399">
        <f t="shared" si="8"/>
        <v>19586</v>
      </c>
      <c r="X17" s="398">
        <v>19593</v>
      </c>
      <c r="Y17" s="397">
        <f t="shared" si="9"/>
        <v>7</v>
      </c>
      <c r="Z17" s="400">
        <f t="shared" si="10"/>
        <v>25</v>
      </c>
      <c r="AA17" s="127">
        <v>350</v>
      </c>
      <c r="AB17" s="127">
        <v>165</v>
      </c>
      <c r="AC17" s="347">
        <f>Gen!T22</f>
        <v>2737.5</v>
      </c>
    </row>
    <row r="18" spans="1:29" ht="20.100000000000001" customHeight="1">
      <c r="A18" s="342">
        <f>Gen!B23</f>
        <v>43903</v>
      </c>
      <c r="B18" s="440">
        <f>Gen!C23</f>
        <v>3.9E-2</v>
      </c>
      <c r="C18" s="398">
        <v>11862.29</v>
      </c>
      <c r="D18" s="398">
        <v>22921.21</v>
      </c>
      <c r="E18" s="398"/>
      <c r="F18" s="398"/>
      <c r="G18" s="398">
        <v>233.75</v>
      </c>
      <c r="H18" s="398"/>
      <c r="I18" s="398">
        <v>30474.9</v>
      </c>
      <c r="J18" s="398">
        <v>20137.7</v>
      </c>
      <c r="K18" s="397">
        <f t="shared" si="0"/>
        <v>34275</v>
      </c>
      <c r="L18" s="398">
        <v>34275</v>
      </c>
      <c r="M18" s="397">
        <f t="shared" si="1"/>
        <v>0</v>
      </c>
      <c r="N18" s="399">
        <f t="shared" si="2"/>
        <v>29073</v>
      </c>
      <c r="O18" s="398">
        <v>29078</v>
      </c>
      <c r="P18" s="397">
        <f t="shared" si="3"/>
        <v>5</v>
      </c>
      <c r="Q18" s="397">
        <f t="shared" si="4"/>
        <v>34555</v>
      </c>
      <c r="R18" s="398">
        <v>34563</v>
      </c>
      <c r="S18" s="397">
        <f t="shared" si="5"/>
        <v>8</v>
      </c>
      <c r="T18" s="397">
        <f t="shared" si="6"/>
        <v>31917</v>
      </c>
      <c r="U18" s="398">
        <v>31924</v>
      </c>
      <c r="V18" s="397">
        <f t="shared" si="7"/>
        <v>7</v>
      </c>
      <c r="W18" s="399">
        <f t="shared" si="8"/>
        <v>19593</v>
      </c>
      <c r="X18" s="398">
        <v>19598</v>
      </c>
      <c r="Y18" s="397">
        <f t="shared" si="9"/>
        <v>5</v>
      </c>
      <c r="Z18" s="400">
        <f t="shared" si="10"/>
        <v>25</v>
      </c>
      <c r="AA18" s="127">
        <v>320</v>
      </c>
      <c r="AB18" s="127">
        <v>151</v>
      </c>
      <c r="AC18" s="347">
        <f>Gen!T23</f>
        <v>2538.1400000000003</v>
      </c>
    </row>
    <row r="19" spans="1:29" ht="20.100000000000001" customHeight="1">
      <c r="A19" s="342">
        <f>Gen!B24</f>
        <v>43904</v>
      </c>
      <c r="B19" s="440">
        <f>Gen!C24</f>
        <v>2.86E-2</v>
      </c>
      <c r="C19" s="398">
        <v>9090.4</v>
      </c>
      <c r="D19" s="398">
        <v>22921.21</v>
      </c>
      <c r="E19" s="398"/>
      <c r="F19" s="398"/>
      <c r="G19" s="398">
        <v>116.4</v>
      </c>
      <c r="H19" s="398"/>
      <c r="I19" s="398">
        <v>30480.400000000001</v>
      </c>
      <c r="J19" s="398">
        <v>20142.099999999999</v>
      </c>
      <c r="K19" s="397">
        <f t="shared" si="0"/>
        <v>34275</v>
      </c>
      <c r="L19" s="398">
        <v>34275</v>
      </c>
      <c r="M19" s="397">
        <f t="shared" si="1"/>
        <v>0</v>
      </c>
      <c r="N19" s="399">
        <f t="shared" si="2"/>
        <v>29078</v>
      </c>
      <c r="O19" s="398">
        <v>29084</v>
      </c>
      <c r="P19" s="397">
        <f t="shared" si="3"/>
        <v>6</v>
      </c>
      <c r="Q19" s="397">
        <f t="shared" si="4"/>
        <v>34563</v>
      </c>
      <c r="R19" s="398">
        <v>34571</v>
      </c>
      <c r="S19" s="397">
        <f t="shared" si="5"/>
        <v>8</v>
      </c>
      <c r="T19" s="397">
        <f t="shared" si="6"/>
        <v>31924</v>
      </c>
      <c r="U19" s="398">
        <v>31924</v>
      </c>
      <c r="V19" s="397">
        <f t="shared" si="7"/>
        <v>0</v>
      </c>
      <c r="W19" s="399">
        <f t="shared" si="8"/>
        <v>19598</v>
      </c>
      <c r="X19" s="398">
        <v>19607</v>
      </c>
      <c r="Y19" s="397">
        <f t="shared" si="9"/>
        <v>9</v>
      </c>
      <c r="Z19" s="400">
        <f t="shared" si="10"/>
        <v>23</v>
      </c>
      <c r="AA19" s="127">
        <v>291</v>
      </c>
      <c r="AB19" s="127">
        <v>136</v>
      </c>
      <c r="AC19" s="347">
        <f>Gen!T24</f>
        <v>1306.6799999999998</v>
      </c>
    </row>
    <row r="20" spans="1:29" ht="20.100000000000001" customHeight="1">
      <c r="A20" s="342">
        <f>Gen!B25</f>
        <v>43905</v>
      </c>
      <c r="B20" s="440">
        <f>Gen!C25</f>
        <v>6.4899999999999999E-2</v>
      </c>
      <c r="C20" s="398">
        <v>7667.32</v>
      </c>
      <c r="D20" s="398">
        <v>22921.21</v>
      </c>
      <c r="E20" s="398"/>
      <c r="F20" s="398"/>
      <c r="G20" s="398">
        <v>287.95999999999998</v>
      </c>
      <c r="H20" s="398"/>
      <c r="I20" s="398">
        <v>30485.9</v>
      </c>
      <c r="J20" s="398">
        <v>20146.5</v>
      </c>
      <c r="K20" s="397">
        <f t="shared" si="0"/>
        <v>34275</v>
      </c>
      <c r="L20" s="398">
        <v>34275</v>
      </c>
      <c r="M20" s="397">
        <f t="shared" si="1"/>
        <v>0</v>
      </c>
      <c r="N20" s="399">
        <f t="shared" si="2"/>
        <v>29084</v>
      </c>
      <c r="O20" s="398">
        <v>29089</v>
      </c>
      <c r="P20" s="397">
        <f t="shared" si="3"/>
        <v>5</v>
      </c>
      <c r="Q20" s="397">
        <f t="shared" si="4"/>
        <v>34571</v>
      </c>
      <c r="R20" s="398">
        <v>34578</v>
      </c>
      <c r="S20" s="397">
        <f t="shared" si="5"/>
        <v>7</v>
      </c>
      <c r="T20" s="397">
        <f t="shared" si="6"/>
        <v>31924</v>
      </c>
      <c r="U20" s="398">
        <v>31932</v>
      </c>
      <c r="V20" s="397">
        <f t="shared" si="7"/>
        <v>8</v>
      </c>
      <c r="W20" s="399">
        <f t="shared" si="8"/>
        <v>19607</v>
      </c>
      <c r="X20" s="398">
        <v>19612</v>
      </c>
      <c r="Y20" s="397">
        <f t="shared" si="9"/>
        <v>5</v>
      </c>
      <c r="Z20" s="400">
        <f t="shared" si="10"/>
        <v>25</v>
      </c>
      <c r="AA20" s="127">
        <v>264</v>
      </c>
      <c r="AB20" s="127">
        <v>137</v>
      </c>
      <c r="AC20" s="347">
        <f>Gen!T25</f>
        <v>1421.46</v>
      </c>
    </row>
    <row r="21" spans="1:29" ht="20.100000000000001" customHeight="1">
      <c r="A21" s="342">
        <f>Gen!B26</f>
        <v>43906</v>
      </c>
      <c r="B21" s="440">
        <f>Gen!C26</f>
        <v>5.1900000000000002E-2</v>
      </c>
      <c r="C21" s="398">
        <v>6221.21</v>
      </c>
      <c r="D21" s="398">
        <v>22921.21</v>
      </c>
      <c r="E21" s="398"/>
      <c r="F21" s="398"/>
      <c r="G21" s="398">
        <v>79.290000000000006</v>
      </c>
      <c r="H21" s="398"/>
      <c r="I21" s="398">
        <v>30491.200000000001</v>
      </c>
      <c r="J21" s="398">
        <v>20150.7</v>
      </c>
      <c r="K21" s="397">
        <f t="shared" si="0"/>
        <v>34275</v>
      </c>
      <c r="L21" s="398">
        <v>34275</v>
      </c>
      <c r="M21" s="397">
        <f t="shared" si="1"/>
        <v>0</v>
      </c>
      <c r="N21" s="399">
        <f t="shared" si="2"/>
        <v>29089</v>
      </c>
      <c r="O21" s="398">
        <v>29095</v>
      </c>
      <c r="P21" s="397">
        <f t="shared" si="3"/>
        <v>6</v>
      </c>
      <c r="Q21" s="397">
        <f t="shared" si="4"/>
        <v>34578</v>
      </c>
      <c r="R21" s="398">
        <v>34584</v>
      </c>
      <c r="S21" s="397">
        <f t="shared" si="5"/>
        <v>6</v>
      </c>
      <c r="T21" s="397">
        <f t="shared" si="6"/>
        <v>31932</v>
      </c>
      <c r="U21" s="398">
        <v>31937</v>
      </c>
      <c r="V21" s="397">
        <f t="shared" si="7"/>
        <v>5</v>
      </c>
      <c r="W21" s="399">
        <f t="shared" si="8"/>
        <v>19612</v>
      </c>
      <c r="X21" s="398">
        <v>19620</v>
      </c>
      <c r="Y21" s="397">
        <f t="shared" si="9"/>
        <v>8</v>
      </c>
      <c r="Z21" s="400">
        <f t="shared" si="10"/>
        <v>25</v>
      </c>
      <c r="AA21" s="127">
        <v>216</v>
      </c>
      <c r="AB21" s="127">
        <v>124</v>
      </c>
      <c r="AC21" s="347">
        <f>Gen!T26</f>
        <v>1366.8200000000002</v>
      </c>
    </row>
    <row r="22" spans="1:29" ht="18.75" customHeight="1">
      <c r="A22" s="342">
        <f>Gen!B27</f>
        <v>43907</v>
      </c>
      <c r="B22" s="440">
        <f>Gen!C27</f>
        <v>2.5999999999999999E-2</v>
      </c>
      <c r="C22" s="398">
        <v>22513.21</v>
      </c>
      <c r="D22" s="398">
        <v>22921.21</v>
      </c>
      <c r="E22" s="398"/>
      <c r="F22" s="398"/>
      <c r="G22" s="398">
        <v>50.42</v>
      </c>
      <c r="H22" s="398"/>
      <c r="I22" s="398">
        <v>30495.9</v>
      </c>
      <c r="J22" s="398">
        <v>20154.5</v>
      </c>
      <c r="K22" s="397">
        <f t="shared" si="0"/>
        <v>34275</v>
      </c>
      <c r="L22" s="398">
        <v>34275</v>
      </c>
      <c r="M22" s="397">
        <f t="shared" si="1"/>
        <v>0</v>
      </c>
      <c r="N22" s="399">
        <f t="shared" si="2"/>
        <v>29095</v>
      </c>
      <c r="O22" s="398">
        <v>29101</v>
      </c>
      <c r="P22" s="397">
        <f t="shared" si="3"/>
        <v>6</v>
      </c>
      <c r="Q22" s="397">
        <f t="shared" si="4"/>
        <v>34584</v>
      </c>
      <c r="R22" s="398">
        <v>34591</v>
      </c>
      <c r="S22" s="397">
        <f t="shared" si="5"/>
        <v>7</v>
      </c>
      <c r="T22" s="397">
        <f t="shared" si="6"/>
        <v>31937</v>
      </c>
      <c r="U22" s="398">
        <v>31944</v>
      </c>
      <c r="V22" s="397">
        <f t="shared" si="7"/>
        <v>7</v>
      </c>
      <c r="W22" s="399">
        <f t="shared" si="8"/>
        <v>19620</v>
      </c>
      <c r="X22" s="398">
        <v>19625</v>
      </c>
      <c r="Y22" s="397">
        <f t="shared" si="9"/>
        <v>5</v>
      </c>
      <c r="Z22" s="400">
        <f t="shared" si="10"/>
        <v>25</v>
      </c>
      <c r="AA22" s="127">
        <v>268</v>
      </c>
      <c r="AB22" s="127">
        <v>120</v>
      </c>
      <c r="AC22" s="347">
        <f>Gen!T27</f>
        <v>1215.42</v>
      </c>
    </row>
    <row r="23" spans="1:29" ht="20.100000000000001" customHeight="1">
      <c r="A23" s="342">
        <f>Gen!B28</f>
        <v>43908</v>
      </c>
      <c r="B23" s="440">
        <f>Gen!C28</f>
        <v>5.1900000000000002E-2</v>
      </c>
      <c r="C23" s="398">
        <v>21246.95</v>
      </c>
      <c r="D23" s="398">
        <v>22921.21</v>
      </c>
      <c r="E23" s="681"/>
      <c r="F23" s="398"/>
      <c r="G23" s="398">
        <v>156</v>
      </c>
      <c r="H23" s="398"/>
      <c r="I23" s="398">
        <v>30500.400000000001</v>
      </c>
      <c r="J23" s="398">
        <v>20158.3</v>
      </c>
      <c r="K23" s="397">
        <f t="shared" si="0"/>
        <v>34275</v>
      </c>
      <c r="L23" s="398">
        <v>34275</v>
      </c>
      <c r="M23" s="397">
        <f t="shared" si="1"/>
        <v>0</v>
      </c>
      <c r="N23" s="399">
        <f t="shared" si="2"/>
        <v>29101</v>
      </c>
      <c r="O23" s="398">
        <v>29108</v>
      </c>
      <c r="P23" s="397">
        <f t="shared" si="3"/>
        <v>7</v>
      </c>
      <c r="Q23" s="397">
        <f t="shared" si="4"/>
        <v>34591</v>
      </c>
      <c r="R23" s="398">
        <v>34597</v>
      </c>
      <c r="S23" s="397">
        <f t="shared" si="5"/>
        <v>6</v>
      </c>
      <c r="T23" s="397">
        <f t="shared" si="6"/>
        <v>31944</v>
      </c>
      <c r="U23" s="398">
        <v>31949</v>
      </c>
      <c r="V23" s="397">
        <f t="shared" si="7"/>
        <v>5</v>
      </c>
      <c r="W23" s="399">
        <f t="shared" si="8"/>
        <v>19625</v>
      </c>
      <c r="X23" s="398">
        <v>19632</v>
      </c>
      <c r="Y23" s="397">
        <f t="shared" si="9"/>
        <v>7</v>
      </c>
      <c r="Z23" s="400">
        <f t="shared" si="10"/>
        <v>25</v>
      </c>
      <c r="AA23" s="127">
        <v>258</v>
      </c>
      <c r="AB23" s="127">
        <v>120</v>
      </c>
      <c r="AC23" s="347">
        <f>Gen!T28</f>
        <v>1192.8200000000002</v>
      </c>
    </row>
    <row r="24" spans="1:29" ht="20.100000000000001" customHeight="1">
      <c r="A24" s="342">
        <f>Gen!B29</f>
        <v>43909</v>
      </c>
      <c r="B24" s="440">
        <f>Gen!C29</f>
        <v>0.02</v>
      </c>
      <c r="C24" s="398">
        <v>19898.13</v>
      </c>
      <c r="D24" s="398">
        <v>22921.21</v>
      </c>
      <c r="E24" s="398"/>
      <c r="F24" s="398"/>
      <c r="G24" s="398">
        <v>97.01</v>
      </c>
      <c r="H24" s="398"/>
      <c r="I24" s="398">
        <v>30504.799999999999</v>
      </c>
      <c r="J24" s="398">
        <v>20161.8</v>
      </c>
      <c r="K24" s="397">
        <f t="shared" si="0"/>
        <v>34275</v>
      </c>
      <c r="L24" s="398">
        <v>34275</v>
      </c>
      <c r="M24" s="397">
        <f t="shared" si="1"/>
        <v>0</v>
      </c>
      <c r="N24" s="399">
        <f t="shared" si="2"/>
        <v>29108</v>
      </c>
      <c r="O24" s="398">
        <v>29114</v>
      </c>
      <c r="P24" s="397">
        <f t="shared" si="3"/>
        <v>6</v>
      </c>
      <c r="Q24" s="397">
        <f t="shared" si="4"/>
        <v>34597</v>
      </c>
      <c r="R24" s="398">
        <v>34603</v>
      </c>
      <c r="S24" s="397">
        <f t="shared" si="5"/>
        <v>6</v>
      </c>
      <c r="T24" s="397">
        <f t="shared" si="6"/>
        <v>31949</v>
      </c>
      <c r="U24" s="398">
        <v>31953</v>
      </c>
      <c r="V24" s="397">
        <f t="shared" si="7"/>
        <v>4</v>
      </c>
      <c r="W24" s="399">
        <f t="shared" si="8"/>
        <v>19632</v>
      </c>
      <c r="X24" s="398">
        <v>19641</v>
      </c>
      <c r="Y24" s="397">
        <f t="shared" si="9"/>
        <v>9</v>
      </c>
      <c r="Z24" s="400">
        <f t="shared" si="10"/>
        <v>25</v>
      </c>
      <c r="AA24" s="127">
        <v>255</v>
      </c>
      <c r="AB24" s="127">
        <v>120</v>
      </c>
      <c r="AC24" s="347">
        <f>Gen!T29</f>
        <v>1101.77</v>
      </c>
    </row>
    <row r="25" spans="1:29" ht="18.75" customHeight="1">
      <c r="A25" s="342">
        <f>Gen!B30</f>
        <v>43910</v>
      </c>
      <c r="B25" s="440">
        <f>Gen!C30</f>
        <v>0.02</v>
      </c>
      <c r="C25" s="398">
        <v>18699.349999999999</v>
      </c>
      <c r="D25" s="398">
        <v>22921.21</v>
      </c>
      <c r="E25" s="398"/>
      <c r="F25" s="398"/>
      <c r="G25" s="398"/>
      <c r="H25" s="398"/>
      <c r="I25" s="398">
        <v>30509.5</v>
      </c>
      <c r="J25" s="398">
        <v>20165.5</v>
      </c>
      <c r="K25" s="397">
        <f t="shared" si="0"/>
        <v>34275</v>
      </c>
      <c r="L25" s="398">
        <v>34275</v>
      </c>
      <c r="M25" s="397">
        <f t="shared" si="1"/>
        <v>0</v>
      </c>
      <c r="N25" s="399">
        <f t="shared" si="2"/>
        <v>29114</v>
      </c>
      <c r="O25" s="398">
        <v>29120</v>
      </c>
      <c r="P25" s="397">
        <f t="shared" si="3"/>
        <v>6</v>
      </c>
      <c r="Q25" s="397">
        <f t="shared" si="4"/>
        <v>34603</v>
      </c>
      <c r="R25" s="398">
        <v>34610</v>
      </c>
      <c r="S25" s="397">
        <f t="shared" si="5"/>
        <v>7</v>
      </c>
      <c r="T25" s="397">
        <f t="shared" si="6"/>
        <v>31953</v>
      </c>
      <c r="U25" s="398">
        <v>31957</v>
      </c>
      <c r="V25" s="397">
        <f t="shared" si="7"/>
        <v>4</v>
      </c>
      <c r="W25" s="399">
        <f t="shared" si="8"/>
        <v>19641</v>
      </c>
      <c r="X25" s="398">
        <v>19648</v>
      </c>
      <c r="Y25" s="397">
        <f t="shared" si="9"/>
        <v>7</v>
      </c>
      <c r="Z25" s="400">
        <f t="shared" si="10"/>
        <v>24</v>
      </c>
      <c r="AA25" s="127">
        <v>268</v>
      </c>
      <c r="AB25" s="127">
        <v>125</v>
      </c>
      <c r="AC25" s="347">
        <f>Gen!T30</f>
        <v>1196.43</v>
      </c>
    </row>
    <row r="26" spans="1:29" ht="20.100000000000001" customHeight="1">
      <c r="A26" s="342">
        <f>Gen!B31</f>
        <v>43911</v>
      </c>
      <c r="B26" s="440">
        <f>Gen!C31</f>
        <v>0</v>
      </c>
      <c r="C26" s="398">
        <v>17502.919999999998</v>
      </c>
      <c r="D26" s="398">
        <v>22921.21</v>
      </c>
      <c r="E26" s="398"/>
      <c r="F26" s="398"/>
      <c r="G26" s="398">
        <v>147.13999999999999</v>
      </c>
      <c r="H26" s="398"/>
      <c r="I26" s="398">
        <v>30513.7</v>
      </c>
      <c r="J26" s="398">
        <v>20168.599999999999</v>
      </c>
      <c r="K26" s="397">
        <f t="shared" si="0"/>
        <v>34275</v>
      </c>
      <c r="L26" s="398">
        <v>34275</v>
      </c>
      <c r="M26" s="397">
        <f t="shared" si="1"/>
        <v>0</v>
      </c>
      <c r="N26" s="399">
        <f t="shared" si="2"/>
        <v>29120</v>
      </c>
      <c r="O26" s="398">
        <v>29127</v>
      </c>
      <c r="P26" s="397">
        <f t="shared" si="3"/>
        <v>7</v>
      </c>
      <c r="Q26" s="397">
        <f t="shared" si="4"/>
        <v>34610</v>
      </c>
      <c r="R26" s="398">
        <v>34615</v>
      </c>
      <c r="S26" s="397">
        <f t="shared" si="5"/>
        <v>5</v>
      </c>
      <c r="T26" s="397">
        <f t="shared" si="6"/>
        <v>31957</v>
      </c>
      <c r="U26" s="398">
        <v>31959</v>
      </c>
      <c r="V26" s="397">
        <f t="shared" si="7"/>
        <v>2</v>
      </c>
      <c r="W26" s="399">
        <f t="shared" si="8"/>
        <v>19648</v>
      </c>
      <c r="X26" s="398">
        <v>19658</v>
      </c>
      <c r="Y26" s="397">
        <f t="shared" si="9"/>
        <v>10</v>
      </c>
      <c r="Z26" s="400">
        <f t="shared" si="10"/>
        <v>24</v>
      </c>
      <c r="AA26" s="127">
        <v>272</v>
      </c>
      <c r="AB26" s="127">
        <v>125</v>
      </c>
      <c r="AC26" s="347">
        <f>Gen!T31</f>
        <v>1103.08</v>
      </c>
    </row>
    <row r="27" spans="1:29" ht="20.100000000000001" customHeight="1">
      <c r="A27" s="342">
        <f>Gen!B32</f>
        <v>43912</v>
      </c>
      <c r="B27" s="440">
        <f>Gen!C32</f>
        <v>0</v>
      </c>
      <c r="C27" s="398">
        <v>16252.7</v>
      </c>
      <c r="D27" s="398">
        <v>22921.21</v>
      </c>
      <c r="E27" s="398"/>
      <c r="F27" s="398"/>
      <c r="G27" s="398"/>
      <c r="H27" s="398"/>
      <c r="I27" s="398">
        <v>30517.5</v>
      </c>
      <c r="J27" s="398">
        <v>20171.3</v>
      </c>
      <c r="K27" s="397">
        <f t="shared" si="0"/>
        <v>34275</v>
      </c>
      <c r="L27" s="398">
        <v>34275</v>
      </c>
      <c r="M27" s="397">
        <f t="shared" si="1"/>
        <v>0</v>
      </c>
      <c r="N27" s="399">
        <f t="shared" si="2"/>
        <v>29127</v>
      </c>
      <c r="O27" s="398">
        <v>29129</v>
      </c>
      <c r="P27" s="397">
        <f t="shared" si="3"/>
        <v>2</v>
      </c>
      <c r="Q27" s="397">
        <f t="shared" si="4"/>
        <v>34615</v>
      </c>
      <c r="R27" s="398">
        <v>34619</v>
      </c>
      <c r="S27" s="397">
        <f t="shared" si="5"/>
        <v>4</v>
      </c>
      <c r="T27" s="397">
        <f t="shared" si="6"/>
        <v>31959</v>
      </c>
      <c r="U27" s="398">
        <v>31966</v>
      </c>
      <c r="V27" s="397">
        <f t="shared" si="7"/>
        <v>7</v>
      </c>
      <c r="W27" s="399">
        <f t="shared" si="8"/>
        <v>19658</v>
      </c>
      <c r="X27" s="398">
        <v>19670</v>
      </c>
      <c r="Y27" s="397">
        <f t="shared" si="9"/>
        <v>12</v>
      </c>
      <c r="Z27" s="400">
        <f t="shared" si="10"/>
        <v>25</v>
      </c>
      <c r="AA27" s="127">
        <v>262</v>
      </c>
      <c r="AB27" s="127">
        <v>120</v>
      </c>
      <c r="AC27" s="347">
        <f>Gen!T32</f>
        <v>927.75</v>
      </c>
    </row>
    <row r="28" spans="1:29" ht="20.100000000000001" customHeight="1">
      <c r="A28" s="342">
        <f>Gen!B33</f>
        <v>43913</v>
      </c>
      <c r="B28" s="440">
        <f>Gen!C33</f>
        <v>0</v>
      </c>
      <c r="C28" s="398">
        <v>26473.51</v>
      </c>
      <c r="D28" s="398">
        <v>23373.65</v>
      </c>
      <c r="E28" s="398"/>
      <c r="F28" s="398"/>
      <c r="G28" s="398"/>
      <c r="H28" s="398"/>
      <c r="I28" s="398">
        <v>30521.5</v>
      </c>
      <c r="J28" s="398">
        <v>20174.3</v>
      </c>
      <c r="K28" s="397">
        <f t="shared" si="0"/>
        <v>34275</v>
      </c>
      <c r="L28" s="398">
        <v>34275</v>
      </c>
      <c r="M28" s="397">
        <f t="shared" si="1"/>
        <v>0</v>
      </c>
      <c r="N28" s="399">
        <f t="shared" si="2"/>
        <v>29129</v>
      </c>
      <c r="O28" s="398">
        <v>29135</v>
      </c>
      <c r="P28" s="397">
        <f t="shared" si="3"/>
        <v>6</v>
      </c>
      <c r="Q28" s="397">
        <f t="shared" si="4"/>
        <v>34619</v>
      </c>
      <c r="R28" s="398">
        <v>34627</v>
      </c>
      <c r="S28" s="397">
        <f t="shared" si="5"/>
        <v>8</v>
      </c>
      <c r="T28" s="397">
        <f t="shared" si="6"/>
        <v>31966</v>
      </c>
      <c r="U28" s="398">
        <v>31967</v>
      </c>
      <c r="V28" s="397">
        <f t="shared" si="7"/>
        <v>1</v>
      </c>
      <c r="W28" s="399">
        <f t="shared" si="8"/>
        <v>19670</v>
      </c>
      <c r="X28" s="398">
        <v>19681</v>
      </c>
      <c r="Y28" s="397">
        <f t="shared" si="9"/>
        <v>11</v>
      </c>
      <c r="Z28" s="400">
        <f t="shared" si="10"/>
        <v>26</v>
      </c>
      <c r="AA28" s="127">
        <v>268</v>
      </c>
      <c r="AB28" s="127">
        <v>110</v>
      </c>
      <c r="AC28" s="347">
        <f>Gen!T33</f>
        <v>1128.43</v>
      </c>
    </row>
    <row r="29" spans="1:29" ht="20.100000000000001" customHeight="1">
      <c r="A29" s="342">
        <f>Gen!B34</f>
        <v>43914</v>
      </c>
      <c r="B29" s="440">
        <f>Gen!C34</f>
        <v>0.02</v>
      </c>
      <c r="C29" s="398">
        <v>26473.51</v>
      </c>
      <c r="D29" s="398">
        <v>22245.22</v>
      </c>
      <c r="E29" s="398"/>
      <c r="F29" s="398"/>
      <c r="G29" s="398">
        <v>249.02</v>
      </c>
      <c r="H29" s="398"/>
      <c r="I29" s="398">
        <v>30525.9</v>
      </c>
      <c r="J29" s="398">
        <v>20177.099999999999</v>
      </c>
      <c r="K29" s="397">
        <f t="shared" si="0"/>
        <v>34275</v>
      </c>
      <c r="L29" s="398">
        <v>34275</v>
      </c>
      <c r="M29" s="397">
        <f t="shared" si="1"/>
        <v>0</v>
      </c>
      <c r="N29" s="399">
        <f t="shared" si="2"/>
        <v>29135</v>
      </c>
      <c r="O29" s="398">
        <v>29138</v>
      </c>
      <c r="P29" s="397">
        <f t="shared" si="3"/>
        <v>3</v>
      </c>
      <c r="Q29" s="397">
        <f t="shared" si="4"/>
        <v>34627</v>
      </c>
      <c r="R29" s="398">
        <v>34632</v>
      </c>
      <c r="S29" s="397">
        <f t="shared" si="5"/>
        <v>5</v>
      </c>
      <c r="T29" s="397">
        <f t="shared" si="6"/>
        <v>31967</v>
      </c>
      <c r="U29" s="398">
        <v>31973</v>
      </c>
      <c r="V29" s="397">
        <f t="shared" si="7"/>
        <v>6</v>
      </c>
      <c r="W29" s="399">
        <f t="shared" si="8"/>
        <v>19681</v>
      </c>
      <c r="X29" s="398">
        <v>19694</v>
      </c>
      <c r="Y29" s="397">
        <f t="shared" si="9"/>
        <v>13</v>
      </c>
      <c r="Z29" s="400">
        <f t="shared" si="10"/>
        <v>27</v>
      </c>
      <c r="AA29" s="127">
        <v>272</v>
      </c>
      <c r="AB29" s="127">
        <v>120</v>
      </c>
      <c r="AC29" s="347">
        <f>Gen!T34</f>
        <v>968.5200000000001</v>
      </c>
    </row>
    <row r="30" spans="1:29" ht="20.100000000000001" customHeight="1">
      <c r="A30" s="342">
        <f>Gen!B35</f>
        <v>43915</v>
      </c>
      <c r="B30" s="440">
        <f>Gen!C35</f>
        <v>0.02</v>
      </c>
      <c r="C30" s="398">
        <v>25906.99</v>
      </c>
      <c r="D30" s="398">
        <v>21996.2</v>
      </c>
      <c r="E30" s="398"/>
      <c r="F30" s="398"/>
      <c r="G30" s="398">
        <v>14.1</v>
      </c>
      <c r="H30" s="398"/>
      <c r="I30" s="398">
        <v>30529.4</v>
      </c>
      <c r="J30" s="398">
        <v>20180.099999999999</v>
      </c>
      <c r="K30" s="397">
        <f t="shared" si="0"/>
        <v>34275</v>
      </c>
      <c r="L30" s="398">
        <v>34275</v>
      </c>
      <c r="M30" s="397">
        <f t="shared" si="1"/>
        <v>0</v>
      </c>
      <c r="N30" s="399">
        <f t="shared" si="2"/>
        <v>29138</v>
      </c>
      <c r="O30" s="398">
        <v>29154</v>
      </c>
      <c r="P30" s="397">
        <f t="shared" si="3"/>
        <v>16</v>
      </c>
      <c r="Q30" s="397">
        <f t="shared" si="4"/>
        <v>34632</v>
      </c>
      <c r="R30" s="398">
        <v>34632</v>
      </c>
      <c r="S30" s="397">
        <f t="shared" si="5"/>
        <v>0</v>
      </c>
      <c r="T30" s="397">
        <f t="shared" si="6"/>
        <v>31973</v>
      </c>
      <c r="U30" s="398">
        <v>31980</v>
      </c>
      <c r="V30" s="397">
        <f t="shared" si="7"/>
        <v>7</v>
      </c>
      <c r="W30" s="399">
        <f t="shared" si="8"/>
        <v>19694</v>
      </c>
      <c r="X30" s="398">
        <v>19701</v>
      </c>
      <c r="Y30" s="397">
        <f t="shared" si="9"/>
        <v>7</v>
      </c>
      <c r="Z30" s="400">
        <f t="shared" si="10"/>
        <v>30</v>
      </c>
      <c r="AA30" s="127">
        <v>268</v>
      </c>
      <c r="AB30" s="127">
        <v>125</v>
      </c>
      <c r="AC30" s="347">
        <f>Gen!T35</f>
        <v>1052.98</v>
      </c>
    </row>
    <row r="31" spans="1:29" ht="20.100000000000001" customHeight="1">
      <c r="A31" s="342">
        <f>Gen!B36</f>
        <v>43916</v>
      </c>
      <c r="B31" s="440">
        <f>Gen!C36</f>
        <v>0.02</v>
      </c>
      <c r="C31" s="398">
        <v>24839.91</v>
      </c>
      <c r="D31" s="398">
        <v>21996.2</v>
      </c>
      <c r="E31" s="398"/>
      <c r="F31" s="398"/>
      <c r="G31" s="398">
        <v>34.57</v>
      </c>
      <c r="H31" s="398"/>
      <c r="I31" s="398">
        <v>30533.1</v>
      </c>
      <c r="J31" s="398">
        <v>20183.900000000001</v>
      </c>
      <c r="K31" s="397">
        <f t="shared" si="0"/>
        <v>34275</v>
      </c>
      <c r="L31" s="398">
        <v>34275</v>
      </c>
      <c r="M31" s="397">
        <f t="shared" si="1"/>
        <v>0</v>
      </c>
      <c r="N31" s="399">
        <f t="shared" si="2"/>
        <v>29154</v>
      </c>
      <c r="O31" s="398">
        <v>29154</v>
      </c>
      <c r="P31" s="397">
        <f t="shared" si="3"/>
        <v>0</v>
      </c>
      <c r="Q31" s="397">
        <f t="shared" si="4"/>
        <v>34632</v>
      </c>
      <c r="R31" s="398">
        <v>34641</v>
      </c>
      <c r="S31" s="397">
        <f t="shared" si="5"/>
        <v>9</v>
      </c>
      <c r="T31" s="397">
        <f t="shared" si="6"/>
        <v>31980</v>
      </c>
      <c r="U31" s="398">
        <v>31987</v>
      </c>
      <c r="V31" s="397">
        <f t="shared" si="7"/>
        <v>7</v>
      </c>
      <c r="W31" s="399">
        <f t="shared" si="8"/>
        <v>19701</v>
      </c>
      <c r="X31" s="398">
        <v>19710</v>
      </c>
      <c r="Y31" s="397">
        <f t="shared" si="9"/>
        <v>9</v>
      </c>
      <c r="Z31" s="400">
        <f t="shared" si="10"/>
        <v>25</v>
      </c>
      <c r="AA31" s="127">
        <v>260</v>
      </c>
      <c r="AB31" s="127">
        <v>120</v>
      </c>
      <c r="AC31" s="347">
        <f>Gen!T36</f>
        <v>1062.08</v>
      </c>
    </row>
    <row r="32" spans="1:29" ht="20.100000000000001" customHeight="1">
      <c r="A32" s="342">
        <f>Gen!B37</f>
        <v>43917</v>
      </c>
      <c r="B32" s="440">
        <f>Gen!C37</f>
        <v>0</v>
      </c>
      <c r="C32" s="398">
        <v>23743.26</v>
      </c>
      <c r="D32" s="398">
        <v>21996.2</v>
      </c>
      <c r="E32" s="398"/>
      <c r="F32" s="398"/>
      <c r="G32" s="398">
        <v>144.12</v>
      </c>
      <c r="H32" s="398"/>
      <c r="I32" s="398">
        <v>30536.6</v>
      </c>
      <c r="J32" s="398">
        <v>20185.900000000001</v>
      </c>
      <c r="K32" s="397">
        <f t="shared" si="0"/>
        <v>34275</v>
      </c>
      <c r="L32" s="398">
        <v>34275</v>
      </c>
      <c r="M32" s="397">
        <f t="shared" si="1"/>
        <v>0</v>
      </c>
      <c r="N32" s="399">
        <f t="shared" si="2"/>
        <v>29154</v>
      </c>
      <c r="O32" s="398">
        <v>29161</v>
      </c>
      <c r="P32" s="397">
        <f t="shared" si="3"/>
        <v>7</v>
      </c>
      <c r="Q32" s="397">
        <f t="shared" si="4"/>
        <v>34641</v>
      </c>
      <c r="R32" s="398">
        <v>34649</v>
      </c>
      <c r="S32" s="397">
        <f t="shared" si="5"/>
        <v>8</v>
      </c>
      <c r="T32" s="397">
        <f t="shared" si="6"/>
        <v>31987</v>
      </c>
      <c r="U32" s="398">
        <v>31994</v>
      </c>
      <c r="V32" s="397">
        <f t="shared" si="7"/>
        <v>7</v>
      </c>
      <c r="W32" s="399">
        <f t="shared" si="8"/>
        <v>19710</v>
      </c>
      <c r="X32" s="398">
        <v>19711</v>
      </c>
      <c r="Y32" s="397">
        <f t="shared" si="9"/>
        <v>1</v>
      </c>
      <c r="Z32" s="400">
        <f t="shared" si="10"/>
        <v>23</v>
      </c>
      <c r="AA32" s="127">
        <v>241</v>
      </c>
      <c r="AB32" s="127">
        <v>130</v>
      </c>
      <c r="AC32" s="347">
        <f>Gen!T37</f>
        <v>958.21</v>
      </c>
    </row>
    <row r="33" spans="1:29" ht="20.100000000000001" customHeight="1">
      <c r="A33" s="342">
        <f>Gen!B38</f>
        <v>43918</v>
      </c>
      <c r="B33" s="440">
        <f>Gen!C38</f>
        <v>0</v>
      </c>
      <c r="C33" s="398">
        <v>22640.93</v>
      </c>
      <c r="D33" s="398">
        <v>21996.2</v>
      </c>
      <c r="E33" s="398"/>
      <c r="F33" s="398"/>
      <c r="G33" s="398">
        <v>78.260000000000005</v>
      </c>
      <c r="H33" s="398"/>
      <c r="I33" s="398">
        <v>30539.3</v>
      </c>
      <c r="J33" s="398">
        <v>20188.3</v>
      </c>
      <c r="K33" s="397">
        <f t="shared" si="0"/>
        <v>34275</v>
      </c>
      <c r="L33" s="398">
        <v>34275</v>
      </c>
      <c r="M33" s="397">
        <f t="shared" si="1"/>
        <v>0</v>
      </c>
      <c r="N33" s="399">
        <f t="shared" si="2"/>
        <v>29161</v>
      </c>
      <c r="O33" s="398">
        <v>29168</v>
      </c>
      <c r="P33" s="397">
        <f t="shared" si="3"/>
        <v>7</v>
      </c>
      <c r="Q33" s="397">
        <f t="shared" si="4"/>
        <v>34649</v>
      </c>
      <c r="R33" s="398">
        <v>34660</v>
      </c>
      <c r="S33" s="397">
        <f t="shared" si="5"/>
        <v>11</v>
      </c>
      <c r="T33" s="397">
        <f t="shared" si="6"/>
        <v>31994</v>
      </c>
      <c r="U33" s="398">
        <v>31994</v>
      </c>
      <c r="V33" s="397">
        <f t="shared" si="7"/>
        <v>0</v>
      </c>
      <c r="W33" s="399">
        <f t="shared" si="8"/>
        <v>19711</v>
      </c>
      <c r="X33" s="398">
        <v>19717</v>
      </c>
      <c r="Y33" s="397">
        <f t="shared" si="9"/>
        <v>6</v>
      </c>
      <c r="Z33" s="400">
        <f t="shared" si="10"/>
        <v>24</v>
      </c>
      <c r="AA33" s="127">
        <v>240</v>
      </c>
      <c r="AB33" s="127">
        <v>90</v>
      </c>
      <c r="AC33" s="347">
        <f>Gen!T38</f>
        <v>811.26</v>
      </c>
    </row>
    <row r="34" spans="1:29" ht="20.100000000000001" customHeight="1">
      <c r="A34" s="342">
        <f>Gen!B39</f>
        <v>43919</v>
      </c>
      <c r="B34" s="440">
        <f>Gen!C39</f>
        <v>0</v>
      </c>
      <c r="C34" s="398">
        <v>21751.47</v>
      </c>
      <c r="D34" s="398">
        <v>21996.2</v>
      </c>
      <c r="E34" s="398"/>
      <c r="F34" s="398"/>
      <c r="G34" s="398"/>
      <c r="H34" s="398"/>
      <c r="I34" s="398">
        <v>30542.9</v>
      </c>
      <c r="J34" s="398">
        <v>20190.8</v>
      </c>
      <c r="K34" s="397">
        <f t="shared" si="0"/>
        <v>34275</v>
      </c>
      <c r="L34" s="398">
        <v>34275</v>
      </c>
      <c r="M34" s="397">
        <f t="shared" si="1"/>
        <v>0</v>
      </c>
      <c r="N34" s="399">
        <f t="shared" si="2"/>
        <v>29168</v>
      </c>
      <c r="O34" s="398">
        <v>29174</v>
      </c>
      <c r="P34" s="397">
        <f t="shared" si="3"/>
        <v>6</v>
      </c>
      <c r="Q34" s="397">
        <f t="shared" si="4"/>
        <v>34660</v>
      </c>
      <c r="R34" s="398">
        <v>34660</v>
      </c>
      <c r="S34" s="397">
        <f t="shared" si="5"/>
        <v>0</v>
      </c>
      <c r="T34" s="397">
        <f t="shared" si="6"/>
        <v>31994</v>
      </c>
      <c r="U34" s="398">
        <v>32002</v>
      </c>
      <c r="V34" s="397">
        <f t="shared" si="7"/>
        <v>8</v>
      </c>
      <c r="W34" s="399">
        <f t="shared" si="8"/>
        <v>19717</v>
      </c>
      <c r="X34" s="398">
        <v>19727</v>
      </c>
      <c r="Y34" s="397">
        <f t="shared" si="9"/>
        <v>10</v>
      </c>
      <c r="Z34" s="400">
        <f t="shared" si="10"/>
        <v>24</v>
      </c>
      <c r="AA34" s="127">
        <v>235</v>
      </c>
      <c r="AB34" s="127">
        <v>95</v>
      </c>
      <c r="AC34" s="347">
        <f>Gen!T39</f>
        <v>839.53</v>
      </c>
    </row>
    <row r="35" spans="1:29" ht="20.100000000000001" customHeight="1">
      <c r="A35" s="342">
        <f>Gen!B40</f>
        <v>43920</v>
      </c>
      <c r="B35" s="440">
        <f>Gen!C40</f>
        <v>0</v>
      </c>
      <c r="C35" s="398">
        <v>20912.939999999999</v>
      </c>
      <c r="D35" s="398">
        <v>21996.2</v>
      </c>
      <c r="E35" s="398"/>
      <c r="F35" s="398"/>
      <c r="G35" s="398"/>
      <c r="H35" s="398"/>
      <c r="I35" s="398">
        <v>30546.2</v>
      </c>
      <c r="J35" s="398">
        <v>20193.400000000001</v>
      </c>
      <c r="K35" s="397">
        <f t="shared" si="0"/>
        <v>34275</v>
      </c>
      <c r="L35" s="398">
        <v>34275</v>
      </c>
      <c r="M35" s="397">
        <f t="shared" si="1"/>
        <v>0</v>
      </c>
      <c r="N35" s="399">
        <f t="shared" si="2"/>
        <v>29174</v>
      </c>
      <c r="O35" s="398">
        <v>29183</v>
      </c>
      <c r="P35" s="397">
        <f t="shared" si="3"/>
        <v>9</v>
      </c>
      <c r="Q35" s="397">
        <f t="shared" si="4"/>
        <v>34660</v>
      </c>
      <c r="R35" s="398">
        <v>34669</v>
      </c>
      <c r="S35" s="397">
        <f t="shared" si="5"/>
        <v>9</v>
      </c>
      <c r="T35" s="397">
        <f t="shared" si="6"/>
        <v>32002</v>
      </c>
      <c r="U35" s="398">
        <v>32009</v>
      </c>
      <c r="V35" s="397">
        <f t="shared" si="7"/>
        <v>7</v>
      </c>
      <c r="W35" s="399">
        <f t="shared" si="8"/>
        <v>19727</v>
      </c>
      <c r="X35" s="398">
        <v>19728</v>
      </c>
      <c r="Y35" s="397">
        <f t="shared" si="9"/>
        <v>1</v>
      </c>
      <c r="Z35" s="400">
        <f t="shared" si="10"/>
        <v>26</v>
      </c>
      <c r="AA35" s="127">
        <v>230</v>
      </c>
      <c r="AB35" s="127">
        <v>90</v>
      </c>
      <c r="AC35" s="347">
        <f>Gen!T40</f>
        <v>935.36</v>
      </c>
    </row>
    <row r="36" spans="1:29" ht="20.100000000000001" customHeight="1">
      <c r="A36" s="342">
        <f>Gen!B41</f>
        <v>43921</v>
      </c>
      <c r="B36" s="440">
        <f>Gen!C41</f>
        <v>0</v>
      </c>
      <c r="C36" s="398">
        <v>19977.580000000002</v>
      </c>
      <c r="D36" s="398">
        <v>21996.2</v>
      </c>
      <c r="E36" s="398"/>
      <c r="F36" s="398"/>
      <c r="G36" s="398"/>
      <c r="H36" s="398"/>
      <c r="I36" s="398">
        <v>30549.599999999999</v>
      </c>
      <c r="J36" s="398">
        <v>20196.099999999999</v>
      </c>
      <c r="K36" s="397">
        <f t="shared" si="0"/>
        <v>34275</v>
      </c>
      <c r="L36" s="398">
        <v>34275</v>
      </c>
      <c r="M36" s="397">
        <f t="shared" si="1"/>
        <v>0</v>
      </c>
      <c r="N36" s="399">
        <f t="shared" si="2"/>
        <v>29183</v>
      </c>
      <c r="O36" s="398">
        <v>29189</v>
      </c>
      <c r="P36" s="397">
        <f t="shared" si="3"/>
        <v>6</v>
      </c>
      <c r="Q36" s="397">
        <f t="shared" si="4"/>
        <v>34669</v>
      </c>
      <c r="R36" s="398">
        <v>34669</v>
      </c>
      <c r="S36" s="397">
        <f t="shared" si="5"/>
        <v>0</v>
      </c>
      <c r="T36" s="397">
        <f t="shared" si="6"/>
        <v>32009</v>
      </c>
      <c r="U36" s="398">
        <v>32019</v>
      </c>
      <c r="V36" s="397">
        <f t="shared" si="7"/>
        <v>10</v>
      </c>
      <c r="W36" s="399">
        <f t="shared" si="8"/>
        <v>19728</v>
      </c>
      <c r="X36" s="398">
        <v>19736</v>
      </c>
      <c r="Y36" s="397">
        <f t="shared" si="9"/>
        <v>8</v>
      </c>
      <c r="Z36" s="400">
        <f t="shared" si="10"/>
        <v>24</v>
      </c>
      <c r="AA36" s="127">
        <v>220</v>
      </c>
      <c r="AB36" s="127">
        <v>90</v>
      </c>
      <c r="AC36" s="347">
        <f>Gen!T41</f>
        <v>919.91</v>
      </c>
    </row>
    <row r="37" spans="1:29" ht="21" customHeight="1">
      <c r="A37" s="342">
        <f>Gen!B42</f>
        <v>43922</v>
      </c>
      <c r="B37" s="440">
        <f>Gen!C42</f>
        <v>0</v>
      </c>
      <c r="C37" s="398">
        <v>19057.669999999998</v>
      </c>
      <c r="D37" s="398">
        <v>21996.2</v>
      </c>
      <c r="E37" s="398"/>
      <c r="F37" s="398"/>
      <c r="G37" s="398"/>
      <c r="H37" s="398"/>
      <c r="I37" s="398"/>
      <c r="J37" s="398"/>
      <c r="K37" s="397">
        <f t="shared" si="0"/>
        <v>34275</v>
      </c>
      <c r="L37" s="398"/>
      <c r="M37" s="397">
        <f t="shared" si="1"/>
        <v>-34275</v>
      </c>
      <c r="N37" s="399">
        <f t="shared" si="2"/>
        <v>29189</v>
      </c>
      <c r="O37" s="398"/>
      <c r="P37" s="397">
        <f t="shared" si="3"/>
        <v>-29189</v>
      </c>
      <c r="Q37" s="397">
        <f t="shared" si="4"/>
        <v>34669</v>
      </c>
      <c r="R37" s="398"/>
      <c r="S37" s="397">
        <f t="shared" si="5"/>
        <v>-34669</v>
      </c>
      <c r="T37" s="397">
        <f t="shared" si="6"/>
        <v>32019</v>
      </c>
      <c r="U37" s="398"/>
      <c r="V37" s="397">
        <f t="shared" si="7"/>
        <v>-32019</v>
      </c>
      <c r="W37" s="399">
        <f t="shared" si="8"/>
        <v>19736</v>
      </c>
      <c r="X37" s="398"/>
      <c r="Y37" s="397">
        <f t="shared" si="9"/>
        <v>-19736</v>
      </c>
      <c r="Z37" s="400">
        <f t="shared" si="10"/>
        <v>-149888</v>
      </c>
      <c r="AA37" s="127"/>
      <c r="AB37" s="127"/>
      <c r="AC37" s="347">
        <f>Gen!T42</f>
        <v>0</v>
      </c>
    </row>
    <row r="38" spans="1:29">
      <c r="A38" s="342"/>
      <c r="B38" s="342"/>
      <c r="C38" s="342"/>
      <c r="D38" s="342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B1:AV97"/>
  <sheetViews>
    <sheetView topLeftCell="A22" zoomScale="110" zoomScaleNormal="110" workbookViewId="0">
      <pane xSplit="2" topLeftCell="V1" activePane="topRight" state="frozen"/>
      <selection pane="topRight" activeCell="T45" sqref="T45"/>
    </sheetView>
  </sheetViews>
  <sheetFormatPr defaultColWidth="9.140625" defaultRowHeight="11.25"/>
  <cols>
    <col min="1" max="1" width="9.140625" style="244"/>
    <col min="2" max="2" width="9.85546875" style="563" customWidth="1"/>
    <col min="3" max="3" width="8.85546875" style="563" customWidth="1"/>
    <col min="4" max="5" width="9" style="563" customWidth="1"/>
    <col min="6" max="6" width="10.140625" style="563" bestFit="1" customWidth="1"/>
    <col min="7" max="7" width="10.7109375" style="563" customWidth="1"/>
    <col min="8" max="8" width="11.28515625" style="563" customWidth="1"/>
    <col min="9" max="9" width="9.7109375" style="563" customWidth="1"/>
    <col min="10" max="10" width="8" style="563" customWidth="1"/>
    <col min="11" max="12" width="9.140625" style="563" bestFit="1" customWidth="1"/>
    <col min="13" max="13" width="10.140625" style="563" customWidth="1"/>
    <col min="14" max="14" width="9.28515625" style="563" customWidth="1"/>
    <col min="15" max="15" width="14.42578125" style="563" customWidth="1"/>
    <col min="16" max="16" width="10.140625" style="563" customWidth="1"/>
    <col min="17" max="17" width="14.42578125" style="563" customWidth="1"/>
    <col min="18" max="18" width="10.7109375" style="563" customWidth="1"/>
    <col min="19" max="19" width="13.140625" style="563" customWidth="1"/>
    <col min="20" max="20" width="11.7109375" style="246" customWidth="1"/>
    <col min="21" max="21" width="13" style="246" customWidth="1"/>
    <col min="22" max="22" width="13.140625" style="246" customWidth="1"/>
    <col min="23" max="23" width="13.5703125" style="246" bestFit="1" customWidth="1"/>
    <col min="24" max="24" width="13" style="246" customWidth="1"/>
    <col min="25" max="25" width="15.7109375" style="246" customWidth="1"/>
    <col min="26" max="26" width="9.5703125" style="246" bestFit="1" customWidth="1"/>
    <col min="27" max="27" width="12" style="246" bestFit="1" customWidth="1"/>
    <col min="28" max="28" width="9.5703125" style="246" bestFit="1" customWidth="1"/>
    <col min="29" max="29" width="8.28515625" style="246" bestFit="1" customWidth="1"/>
    <col min="30" max="30" width="9.42578125" style="246" bestFit="1" customWidth="1"/>
    <col min="31" max="31" width="8.140625" style="246" bestFit="1" customWidth="1"/>
    <col min="32" max="32" width="8" style="246" bestFit="1" customWidth="1"/>
    <col min="33" max="33" width="9.28515625" style="246" bestFit="1" customWidth="1"/>
    <col min="34" max="34" width="11.42578125" style="246" customWidth="1"/>
    <col min="35" max="35" width="9.85546875" style="246" bestFit="1" customWidth="1"/>
    <col min="36" max="36" width="9.5703125" style="246" bestFit="1" customWidth="1"/>
    <col min="37" max="37" width="12" style="246" bestFit="1" customWidth="1"/>
    <col min="38" max="43" width="9.140625" style="246" hidden="1" customWidth="1"/>
    <col min="44" max="44" width="5.42578125" style="246" customWidth="1"/>
    <col min="45" max="45" width="15" style="246" bestFit="1" customWidth="1"/>
    <col min="46" max="46" width="10.7109375" style="246" bestFit="1" customWidth="1"/>
    <col min="47" max="47" width="9.7109375" style="246" bestFit="1" customWidth="1"/>
    <col min="48" max="48" width="8" style="244" bestFit="1" customWidth="1"/>
    <col min="49" max="16384" width="9.140625" style="244"/>
  </cols>
  <sheetData>
    <row r="1" spans="2:47">
      <c r="B1" s="812"/>
      <c r="C1" s="812"/>
    </row>
    <row r="2" spans="2:47" ht="26.25">
      <c r="B2" s="812"/>
      <c r="C2" s="812"/>
      <c r="E2" s="813" t="s">
        <v>314</v>
      </c>
      <c r="F2" s="813"/>
      <c r="G2" s="814"/>
      <c r="H2" s="814"/>
      <c r="I2" s="814"/>
      <c r="J2" s="814"/>
      <c r="K2" s="814"/>
      <c r="L2" s="814"/>
      <c r="M2" s="814"/>
      <c r="N2" s="814"/>
      <c r="O2" s="814"/>
      <c r="P2" s="814"/>
      <c r="Q2" s="814"/>
      <c r="R2" s="814"/>
      <c r="S2" s="814"/>
      <c r="T2" s="814"/>
      <c r="U2" s="814"/>
      <c r="V2" s="814"/>
      <c r="W2" s="814"/>
      <c r="X2" s="814"/>
      <c r="Y2" s="814"/>
      <c r="Z2" s="814"/>
      <c r="AA2" s="814"/>
      <c r="AB2" s="814"/>
      <c r="AC2" s="814"/>
      <c r="AD2" s="814"/>
      <c r="AE2" s="814"/>
      <c r="AF2" s="814"/>
      <c r="AG2" s="814"/>
      <c r="AH2" s="814"/>
      <c r="AI2" s="814"/>
      <c r="AJ2" s="814"/>
      <c r="AK2" s="814"/>
      <c r="AL2" s="814"/>
      <c r="AM2" s="814"/>
      <c r="AN2" s="814"/>
      <c r="AO2" s="814"/>
      <c r="AP2" s="814"/>
      <c r="AQ2" s="814"/>
      <c r="AR2" s="814"/>
      <c r="AS2" s="814"/>
      <c r="AT2" s="814"/>
      <c r="AU2" s="814"/>
    </row>
    <row r="3" spans="2:47">
      <c r="B3" s="812"/>
      <c r="C3" s="812"/>
      <c r="L3" s="245"/>
      <c r="R3" s="245"/>
    </row>
    <row r="4" spans="2:47">
      <c r="B4" s="812"/>
      <c r="C4" s="812"/>
      <c r="L4" s="245"/>
      <c r="R4" s="245"/>
    </row>
    <row r="5" spans="2:47" ht="12" thickBot="1">
      <c r="B5" s="812"/>
      <c r="C5" s="812"/>
      <c r="M5" s="247"/>
      <c r="S5" s="247"/>
      <c r="T5" s="248"/>
      <c r="U5" s="248"/>
      <c r="V5" s="248"/>
      <c r="W5" s="249"/>
      <c r="X5" s="249"/>
      <c r="Y5" s="249"/>
      <c r="Z5" s="249"/>
      <c r="AA5" s="249"/>
      <c r="AB5" s="249"/>
      <c r="AC5" s="249"/>
      <c r="AD5" s="249"/>
      <c r="AE5" s="249"/>
      <c r="AF5" s="249"/>
      <c r="AG5" s="249"/>
      <c r="AH5" s="249"/>
      <c r="AI5" s="249"/>
      <c r="AJ5" s="249"/>
      <c r="AK5" s="249"/>
      <c r="AL5" s="249"/>
      <c r="AM5" s="249"/>
      <c r="AN5" s="249"/>
      <c r="AO5" s="249"/>
      <c r="AP5" s="249"/>
      <c r="AQ5" s="249"/>
      <c r="AR5" s="249"/>
      <c r="AS5" s="249"/>
      <c r="AT5" s="249"/>
      <c r="AU5" s="249"/>
    </row>
    <row r="6" spans="2:47" ht="21" thickBot="1">
      <c r="B6" s="812"/>
      <c r="C6" s="812"/>
      <c r="D6" s="250"/>
      <c r="G6" s="821" t="s">
        <v>58</v>
      </c>
      <c r="H6" s="822"/>
      <c r="I6" s="822"/>
      <c r="J6" s="822"/>
      <c r="K6" s="822"/>
      <c r="L6" s="822"/>
      <c r="M6" s="823"/>
      <c r="N6" s="247"/>
      <c r="O6" s="247"/>
      <c r="P6" s="247"/>
      <c r="Q6" s="247"/>
      <c r="R6" s="247"/>
      <c r="S6" s="247"/>
      <c r="T6" s="248"/>
      <c r="U6" s="248"/>
      <c r="V6" s="248"/>
      <c r="W6" s="251">
        <v>1</v>
      </c>
      <c r="X6" s="251">
        <v>2</v>
      </c>
      <c r="Y6" s="251">
        <v>3</v>
      </c>
      <c r="Z6" s="251">
        <v>4</v>
      </c>
      <c r="AA6" s="251">
        <v>5</v>
      </c>
      <c r="AB6" s="251">
        <v>6</v>
      </c>
      <c r="AC6" s="251">
        <v>7</v>
      </c>
      <c r="AD6" s="251">
        <v>8</v>
      </c>
      <c r="AE6" s="251">
        <v>9</v>
      </c>
      <c r="AF6" s="251">
        <v>10</v>
      </c>
      <c r="AG6" s="251">
        <v>11</v>
      </c>
      <c r="AH6" s="251"/>
      <c r="AI6" s="251"/>
      <c r="AJ6" s="251"/>
      <c r="AS6" s="251"/>
      <c r="AT6" s="248"/>
    </row>
    <row r="7" spans="2:47" ht="21" thickBot="1">
      <c r="D7" s="252"/>
      <c r="E7" s="252"/>
      <c r="F7" s="252"/>
      <c r="G7" s="815" t="s">
        <v>203</v>
      </c>
      <c r="H7" s="816"/>
      <c r="I7" s="816"/>
      <c r="J7" s="816"/>
      <c r="K7" s="816"/>
      <c r="L7" s="816"/>
      <c r="M7" s="817"/>
      <c r="N7" s="818" t="s">
        <v>40</v>
      </c>
      <c r="O7" s="819"/>
      <c r="P7" s="819"/>
      <c r="Q7" s="819"/>
      <c r="R7" s="819"/>
      <c r="S7" s="820"/>
      <c r="T7" s="468"/>
      <c r="U7" s="469"/>
      <c r="V7" s="470"/>
      <c r="W7" s="471" t="s">
        <v>81</v>
      </c>
      <c r="X7" s="472" t="s">
        <v>81</v>
      </c>
      <c r="Y7" s="472" t="s">
        <v>5</v>
      </c>
      <c r="Z7" s="472" t="s">
        <v>82</v>
      </c>
      <c r="AA7" s="472" t="s">
        <v>84</v>
      </c>
      <c r="AB7" s="472" t="s">
        <v>83</v>
      </c>
      <c r="AC7" s="472" t="s">
        <v>83</v>
      </c>
      <c r="AD7" s="473" t="s">
        <v>201</v>
      </c>
      <c r="AE7" s="472" t="s">
        <v>30</v>
      </c>
      <c r="AF7" s="472" t="s">
        <v>98</v>
      </c>
      <c r="AG7" s="474" t="s">
        <v>22</v>
      </c>
      <c r="AH7" s="475" t="s">
        <v>29</v>
      </c>
      <c r="AI7" s="472" t="s">
        <v>85</v>
      </c>
      <c r="AJ7" s="476" t="s">
        <v>192</v>
      </c>
      <c r="AK7" s="488" t="s">
        <v>26</v>
      </c>
      <c r="AL7" s="253"/>
      <c r="AM7" s="253"/>
      <c r="AN7" s="253"/>
      <c r="AO7" s="253"/>
      <c r="AP7" s="253"/>
      <c r="AQ7" s="253"/>
      <c r="AR7" s="253"/>
      <c r="AS7" s="254"/>
      <c r="AT7" s="255"/>
      <c r="AU7" s="253"/>
    </row>
    <row r="8" spans="2:47" s="257" customFormat="1" ht="30" customHeight="1" thickBot="1">
      <c r="B8" s="507" t="s">
        <v>0</v>
      </c>
      <c r="C8" s="508" t="s">
        <v>50</v>
      </c>
      <c r="D8" s="509" t="s">
        <v>2</v>
      </c>
      <c r="E8" s="510" t="s">
        <v>38</v>
      </c>
      <c r="F8" s="510" t="s">
        <v>97</v>
      </c>
      <c r="G8" s="511" t="s">
        <v>308</v>
      </c>
      <c r="H8" s="686">
        <v>1</v>
      </c>
      <c r="I8" s="500">
        <v>2</v>
      </c>
      <c r="J8" s="500">
        <v>3</v>
      </c>
      <c r="K8" s="500">
        <v>4</v>
      </c>
      <c r="L8" s="500">
        <v>5</v>
      </c>
      <c r="M8" s="501">
        <v>6</v>
      </c>
      <c r="N8" s="502">
        <v>1</v>
      </c>
      <c r="O8" s="503">
        <v>2</v>
      </c>
      <c r="P8" s="503">
        <v>3</v>
      </c>
      <c r="Q8" s="503">
        <v>4</v>
      </c>
      <c r="R8" s="503">
        <v>5</v>
      </c>
      <c r="S8" s="503">
        <v>6</v>
      </c>
      <c r="T8" s="504" t="s">
        <v>39</v>
      </c>
      <c r="U8" s="504" t="s">
        <v>41</v>
      </c>
      <c r="V8" s="505" t="s">
        <v>200</v>
      </c>
      <c r="W8" s="479" t="s">
        <v>33</v>
      </c>
      <c r="X8" s="480" t="s">
        <v>32</v>
      </c>
      <c r="Y8" s="480" t="s">
        <v>35</v>
      </c>
      <c r="Z8" s="481" t="s">
        <v>210</v>
      </c>
      <c r="AA8" s="481" t="s">
        <v>209</v>
      </c>
      <c r="AB8" s="480" t="s">
        <v>338</v>
      </c>
      <c r="AC8" s="480" t="s">
        <v>337</v>
      </c>
      <c r="AD8" s="482" t="s">
        <v>34</v>
      </c>
      <c r="AE8" s="480" t="s">
        <v>31</v>
      </c>
      <c r="AF8" s="480" t="s">
        <v>211</v>
      </c>
      <c r="AG8" s="480" t="s">
        <v>212</v>
      </c>
      <c r="AH8" s="483" t="s">
        <v>86</v>
      </c>
      <c r="AI8" s="484" t="s">
        <v>28</v>
      </c>
      <c r="AJ8" s="485" t="s">
        <v>28</v>
      </c>
      <c r="AK8" s="487"/>
      <c r="AL8" s="359"/>
      <c r="AM8" s="52"/>
      <c r="AN8" s="52"/>
      <c r="AO8" s="52"/>
      <c r="AP8" s="52"/>
      <c r="AQ8" s="256"/>
      <c r="AR8" s="490"/>
      <c r="AS8" s="491" t="s">
        <v>202</v>
      </c>
      <c r="AT8" s="491" t="s">
        <v>43</v>
      </c>
      <c r="AU8" s="490" t="s">
        <v>3</v>
      </c>
    </row>
    <row r="9" spans="2:47" ht="14.25">
      <c r="B9" s="690"/>
      <c r="C9" s="258"/>
      <c r="D9" s="276">
        <v>32302.73</v>
      </c>
      <c r="E9" s="506"/>
      <c r="F9" s="260"/>
      <c r="G9" s="691"/>
      <c r="H9" s="687"/>
      <c r="I9" s="261"/>
      <c r="J9" s="492"/>
      <c r="K9" s="493"/>
      <c r="L9" s="494"/>
      <c r="M9" s="495"/>
      <c r="N9" s="496"/>
      <c r="O9" s="497"/>
      <c r="P9" s="497"/>
      <c r="Q9" s="497"/>
      <c r="R9" s="497"/>
      <c r="S9" s="497"/>
      <c r="T9" s="498">
        <f t="shared" ref="T9:T45" si="0">SUM(G9:M9)</f>
        <v>0</v>
      </c>
      <c r="U9" s="499">
        <f t="shared" ref="U9:U43" si="1">SUM(N9:S9)</f>
        <v>0</v>
      </c>
      <c r="V9" s="264"/>
      <c r="W9" s="477"/>
      <c r="X9" s="267"/>
      <c r="Y9" s="478"/>
      <c r="Z9" s="478"/>
      <c r="AA9" s="478"/>
      <c r="AB9" s="267"/>
      <c r="AC9" s="265"/>
      <c r="AD9" s="267"/>
      <c r="AE9" s="268"/>
      <c r="AF9" s="268"/>
      <c r="AG9" s="269"/>
      <c r="AH9" s="265"/>
      <c r="AI9" s="267"/>
      <c r="AJ9" s="518"/>
      <c r="AK9" s="486"/>
      <c r="AL9" s="270"/>
      <c r="AM9" s="270"/>
      <c r="AN9" s="270"/>
      <c r="AO9" s="270"/>
      <c r="AP9" s="270"/>
      <c r="AQ9" s="270"/>
      <c r="AR9" s="270"/>
      <c r="AS9" s="489">
        <f t="shared" ref="AS9:AS43" si="2">SUM(AK9+T9)</f>
        <v>0</v>
      </c>
      <c r="AT9" s="271"/>
      <c r="AU9" s="272">
        <v>38784.699999999997</v>
      </c>
    </row>
    <row r="10" spans="2:47" ht="13.5" customHeight="1">
      <c r="B10" s="692"/>
      <c r="C10" s="273"/>
      <c r="D10" s="307"/>
      <c r="E10" s="259"/>
      <c r="F10" s="275"/>
      <c r="G10" s="693"/>
      <c r="H10" s="277"/>
      <c r="I10" s="276"/>
      <c r="J10" s="277"/>
      <c r="K10" s="276"/>
      <c r="L10" s="276"/>
      <c r="M10" s="388"/>
      <c r="N10" s="387"/>
      <c r="O10" s="279"/>
      <c r="P10" s="278"/>
      <c r="Q10" s="278"/>
      <c r="R10" s="278"/>
      <c r="S10" s="278"/>
      <c r="T10" s="291">
        <f t="shared" si="0"/>
        <v>0</v>
      </c>
      <c r="U10" s="292">
        <f t="shared" si="1"/>
        <v>0</v>
      </c>
      <c r="V10" s="292">
        <f>SUM(O10:T10)</f>
        <v>0</v>
      </c>
      <c r="W10" s="281"/>
      <c r="X10" s="293"/>
      <c r="Y10" s="266"/>
      <c r="Z10" s="281"/>
      <c r="AA10" s="276"/>
      <c r="AB10" s="281"/>
      <c r="AC10" s="282"/>
      <c r="AD10" s="281"/>
      <c r="AE10" s="283"/>
      <c r="AF10" s="283"/>
      <c r="AG10" s="281"/>
      <c r="AH10" s="284"/>
      <c r="AI10" s="293"/>
      <c r="AJ10" s="518"/>
      <c r="AK10" s="358">
        <f t="shared" ref="AK10:AK44" si="3">SUM(W10:AJ10)</f>
        <v>0</v>
      </c>
      <c r="AL10" s="285"/>
      <c r="AM10" s="285"/>
      <c r="AN10" s="285"/>
      <c r="AO10" s="285"/>
      <c r="AP10" s="285"/>
      <c r="AQ10" s="285"/>
      <c r="AR10" s="286"/>
      <c r="AS10" s="287">
        <f t="shared" si="2"/>
        <v>0</v>
      </c>
      <c r="AT10" s="288"/>
      <c r="AU10" s="370"/>
    </row>
    <row r="11" spans="2:47" s="296" customFormat="1" ht="13.5" customHeight="1">
      <c r="B11" s="694">
        <v>43891</v>
      </c>
      <c r="C11" s="302">
        <v>0.57140000000000002</v>
      </c>
      <c r="D11" s="290">
        <f>SUM(D9+E11)</f>
        <v>32302.73</v>
      </c>
      <c r="E11" s="297"/>
      <c r="F11" s="275"/>
      <c r="G11" s="695"/>
      <c r="H11" s="277">
        <v>503.27</v>
      </c>
      <c r="I11" s="276">
        <v>342.44</v>
      </c>
      <c r="J11" s="277"/>
      <c r="K11" s="276">
        <v>403.86</v>
      </c>
      <c r="L11" s="276">
        <v>495.22</v>
      </c>
      <c r="M11" s="388">
        <v>501.9</v>
      </c>
      <c r="N11" s="278">
        <v>1324</v>
      </c>
      <c r="O11" s="278">
        <v>965</v>
      </c>
      <c r="P11" s="278"/>
      <c r="Q11" s="278">
        <v>928</v>
      </c>
      <c r="R11" s="278">
        <v>1189</v>
      </c>
      <c r="S11" s="278">
        <v>1243</v>
      </c>
      <c r="T11" s="291">
        <f t="shared" si="0"/>
        <v>2246.69</v>
      </c>
      <c r="U11" s="292">
        <f t="shared" si="1"/>
        <v>5649</v>
      </c>
      <c r="V11" s="292">
        <f t="shared" ref="V11:V41" si="4">T11/U11</f>
        <v>0.39771463975924942</v>
      </c>
      <c r="W11" s="281"/>
      <c r="X11" s="281"/>
      <c r="Y11" s="281">
        <v>44.59</v>
      </c>
      <c r="Z11" s="281"/>
      <c r="AA11" s="281"/>
      <c r="AB11" s="281"/>
      <c r="AC11" s="281"/>
      <c r="AD11" s="281"/>
      <c r="AE11" s="281">
        <v>242.18</v>
      </c>
      <c r="AF11" s="281"/>
      <c r="AG11" s="281"/>
      <c r="AH11" s="281"/>
      <c r="AI11" s="281"/>
      <c r="AJ11" s="518">
        <v>35</v>
      </c>
      <c r="AK11" s="358">
        <f t="shared" si="3"/>
        <v>321.77</v>
      </c>
      <c r="AL11" s="294"/>
      <c r="AM11" s="294"/>
      <c r="AN11" s="294"/>
      <c r="AO11" s="294"/>
      <c r="AP11" s="294"/>
      <c r="AQ11" s="294"/>
      <c r="AR11" s="294"/>
      <c r="AS11" s="287">
        <f t="shared" si="2"/>
        <v>2568.46</v>
      </c>
      <c r="AT11" s="295">
        <f>AS11*AV11</f>
        <v>0</v>
      </c>
      <c r="AU11" s="370">
        <f t="shared" ref="AU11:AU43" si="5">D11</f>
        <v>32302.73</v>
      </c>
    </row>
    <row r="12" spans="2:47" ht="13.5" customHeight="1">
      <c r="B12" s="694">
        <v>43892</v>
      </c>
      <c r="C12" s="302">
        <v>0.2208</v>
      </c>
      <c r="D12" s="290">
        <f t="shared" ref="D12:D43" si="6">SUM(D11-AS11+E12)</f>
        <v>47734.270000000004</v>
      </c>
      <c r="E12" s="297">
        <v>18000</v>
      </c>
      <c r="F12" s="275">
        <v>18000</v>
      </c>
      <c r="G12" s="696" t="s">
        <v>309</v>
      </c>
      <c r="H12" s="277">
        <v>370.16</v>
      </c>
      <c r="I12" s="276">
        <v>336.03</v>
      </c>
      <c r="J12" s="298"/>
      <c r="K12" s="276">
        <v>406.64</v>
      </c>
      <c r="L12" s="276">
        <v>535.91</v>
      </c>
      <c r="M12" s="388">
        <v>476.74</v>
      </c>
      <c r="N12" s="387">
        <v>1246</v>
      </c>
      <c r="O12" s="278">
        <v>780</v>
      </c>
      <c r="P12" s="278"/>
      <c r="Q12" s="278">
        <v>968</v>
      </c>
      <c r="R12" s="278">
        <v>1282</v>
      </c>
      <c r="S12" s="278">
        <v>1267</v>
      </c>
      <c r="T12" s="291">
        <f t="shared" si="0"/>
        <v>2125.4799999999996</v>
      </c>
      <c r="U12" s="292">
        <f t="shared" si="1"/>
        <v>5543</v>
      </c>
      <c r="V12" s="292">
        <f t="shared" si="4"/>
        <v>0.38345300378856206</v>
      </c>
      <c r="W12" s="281"/>
      <c r="X12" s="281"/>
      <c r="Y12" s="281"/>
      <c r="Z12" s="281"/>
      <c r="AA12" s="281">
        <v>60.34</v>
      </c>
      <c r="AB12" s="281"/>
      <c r="AC12" s="281"/>
      <c r="AD12" s="281"/>
      <c r="AE12" s="281"/>
      <c r="AF12" s="281"/>
      <c r="AG12" s="281"/>
      <c r="AH12" s="281"/>
      <c r="AI12" s="281"/>
      <c r="AJ12" s="518">
        <v>221</v>
      </c>
      <c r="AK12" s="358">
        <f t="shared" si="3"/>
        <v>281.34000000000003</v>
      </c>
      <c r="AL12" s="285"/>
      <c r="AM12" s="285"/>
      <c r="AN12" s="285"/>
      <c r="AO12" s="285"/>
      <c r="AP12" s="285"/>
      <c r="AQ12" s="285"/>
      <c r="AR12" s="285"/>
      <c r="AS12" s="287">
        <f t="shared" si="2"/>
        <v>2406.8199999999997</v>
      </c>
      <c r="AT12" s="295">
        <f t="shared" ref="AT12:AT44" si="7">AS12*AV12</f>
        <v>0</v>
      </c>
      <c r="AU12" s="370">
        <f t="shared" si="5"/>
        <v>47734.270000000004</v>
      </c>
    </row>
    <row r="13" spans="2:47" ht="13.5" customHeight="1">
      <c r="B13" s="694">
        <v>43893</v>
      </c>
      <c r="C13" s="302">
        <v>0.1429</v>
      </c>
      <c r="D13" s="290">
        <f t="shared" si="6"/>
        <v>45327.450000000004</v>
      </c>
      <c r="E13" s="297"/>
      <c r="F13" s="275"/>
      <c r="G13" s="697"/>
      <c r="H13" s="277">
        <v>460.92</v>
      </c>
      <c r="I13" s="276">
        <v>304.52</v>
      </c>
      <c r="J13" s="298"/>
      <c r="K13" s="276">
        <v>543.32000000000005</v>
      </c>
      <c r="L13" s="276">
        <v>436.2</v>
      </c>
      <c r="M13" s="388">
        <v>336.32</v>
      </c>
      <c r="N13" s="387">
        <v>698</v>
      </c>
      <c r="O13" s="278">
        <v>910</v>
      </c>
      <c r="P13" s="278"/>
      <c r="Q13" s="278">
        <v>1178</v>
      </c>
      <c r="R13" s="278">
        <v>1000</v>
      </c>
      <c r="S13" s="278">
        <v>850</v>
      </c>
      <c r="T13" s="291">
        <f t="shared" si="0"/>
        <v>2081.2800000000002</v>
      </c>
      <c r="U13" s="292">
        <f t="shared" si="1"/>
        <v>4636</v>
      </c>
      <c r="V13" s="292">
        <f t="shared" si="4"/>
        <v>0.4489387402933564</v>
      </c>
      <c r="W13" s="281"/>
      <c r="X13" s="293"/>
      <c r="Y13" s="680">
        <v>55.1</v>
      </c>
      <c r="Z13" s="680"/>
      <c r="AA13" s="276"/>
      <c r="AB13" s="360"/>
      <c r="AC13" s="293"/>
      <c r="AD13" s="293"/>
      <c r="AE13" s="293"/>
      <c r="AF13" s="293"/>
      <c r="AG13" s="293"/>
      <c r="AH13" s="293"/>
      <c r="AI13" s="293"/>
      <c r="AJ13" s="518"/>
      <c r="AK13" s="358">
        <f t="shared" si="3"/>
        <v>55.1</v>
      </c>
      <c r="AL13" s="299"/>
      <c r="AM13" s="299"/>
      <c r="AN13" s="299"/>
      <c r="AO13" s="299"/>
      <c r="AP13" s="299"/>
      <c r="AQ13" s="299"/>
      <c r="AR13" s="299"/>
      <c r="AS13" s="287">
        <f t="shared" si="2"/>
        <v>2136.38</v>
      </c>
      <c r="AT13" s="295">
        <f t="shared" si="7"/>
        <v>0</v>
      </c>
      <c r="AU13" s="370">
        <f t="shared" si="5"/>
        <v>45327.450000000004</v>
      </c>
    </row>
    <row r="14" spans="2:47" ht="13.5" customHeight="1">
      <c r="B14" s="694">
        <v>43894</v>
      </c>
      <c r="C14" s="302">
        <v>1</v>
      </c>
      <c r="D14" s="290">
        <f t="shared" si="6"/>
        <v>43191.070000000007</v>
      </c>
      <c r="E14" s="297"/>
      <c r="F14" s="275"/>
      <c r="G14" s="697"/>
      <c r="H14" s="277">
        <v>514.17999999999995</v>
      </c>
      <c r="I14" s="276">
        <v>420.49</v>
      </c>
      <c r="J14" s="298"/>
      <c r="K14" s="276">
        <v>442.4</v>
      </c>
      <c r="L14" s="276">
        <v>634.29999999999995</v>
      </c>
      <c r="M14" s="388">
        <v>409.92</v>
      </c>
      <c r="N14" s="387">
        <v>1760</v>
      </c>
      <c r="O14" s="278">
        <v>808</v>
      </c>
      <c r="P14" s="278"/>
      <c r="Q14" s="278">
        <v>808</v>
      </c>
      <c r="R14" s="278">
        <v>1597</v>
      </c>
      <c r="S14" s="278">
        <v>1227</v>
      </c>
      <c r="T14" s="291">
        <f t="shared" si="0"/>
        <v>2421.29</v>
      </c>
      <c r="U14" s="292">
        <f t="shared" si="1"/>
        <v>6200</v>
      </c>
      <c r="V14" s="292">
        <f t="shared" si="4"/>
        <v>0.39053064516129032</v>
      </c>
      <c r="W14" s="281"/>
      <c r="X14" s="293">
        <v>39.5</v>
      </c>
      <c r="Z14" s="680"/>
      <c r="AA14" s="276">
        <v>32.44</v>
      </c>
      <c r="AB14" s="360"/>
      <c r="AC14" s="293"/>
      <c r="AD14" s="293"/>
      <c r="AE14" s="293"/>
      <c r="AF14" s="293"/>
      <c r="AG14" s="293"/>
      <c r="AH14" s="293"/>
      <c r="AI14" s="293"/>
      <c r="AJ14" s="518">
        <v>78</v>
      </c>
      <c r="AK14" s="358">
        <f t="shared" si="3"/>
        <v>149.94</v>
      </c>
      <c r="AL14" s="294"/>
      <c r="AM14" s="294"/>
      <c r="AN14" s="294"/>
      <c r="AO14" s="294"/>
      <c r="AP14" s="294"/>
      <c r="AQ14" s="294"/>
      <c r="AR14" s="294"/>
      <c r="AS14" s="287">
        <f t="shared" si="2"/>
        <v>2571.23</v>
      </c>
      <c r="AT14" s="295">
        <f t="shared" si="7"/>
        <v>0</v>
      </c>
      <c r="AU14" s="370">
        <f t="shared" si="5"/>
        <v>43191.070000000007</v>
      </c>
    </row>
    <row r="15" spans="2:47" ht="13.5" customHeight="1">
      <c r="B15" s="694">
        <v>43895</v>
      </c>
      <c r="C15" s="302">
        <v>1</v>
      </c>
      <c r="D15" s="290">
        <f t="shared" si="6"/>
        <v>40619.840000000004</v>
      </c>
      <c r="E15" s="297"/>
      <c r="F15" s="275"/>
      <c r="G15" s="697"/>
      <c r="H15" s="277">
        <v>830.7</v>
      </c>
      <c r="I15" s="276">
        <v>412.59</v>
      </c>
      <c r="J15" s="298"/>
      <c r="K15" s="276">
        <v>479.01</v>
      </c>
      <c r="L15" s="276">
        <v>592.47</v>
      </c>
      <c r="M15" s="388">
        <v>275.39999999999998</v>
      </c>
      <c r="N15" s="387">
        <v>2135</v>
      </c>
      <c r="O15" s="278">
        <v>911</v>
      </c>
      <c r="P15" s="278"/>
      <c r="Q15" s="278">
        <v>1507</v>
      </c>
      <c r="R15" s="278">
        <v>1235</v>
      </c>
      <c r="S15" s="278">
        <v>815</v>
      </c>
      <c r="T15" s="291">
        <f t="shared" si="0"/>
        <v>2590.17</v>
      </c>
      <c r="U15" s="292">
        <f t="shared" si="1"/>
        <v>6603</v>
      </c>
      <c r="V15" s="292">
        <f t="shared" si="4"/>
        <v>0.39227169468423445</v>
      </c>
      <c r="W15" s="281"/>
      <c r="X15" s="293"/>
      <c r="Y15" s="266"/>
      <c r="Z15" s="293"/>
      <c r="AA15" s="276"/>
      <c r="AB15" s="360"/>
      <c r="AC15" s="293"/>
      <c r="AD15" s="293"/>
      <c r="AE15" s="293"/>
      <c r="AF15" s="293"/>
      <c r="AG15" s="293">
        <v>13.9</v>
      </c>
      <c r="AH15" s="293"/>
      <c r="AI15" s="293">
        <v>31</v>
      </c>
      <c r="AJ15" s="518"/>
      <c r="AK15" s="358">
        <f t="shared" si="3"/>
        <v>44.9</v>
      </c>
      <c r="AL15" s="294"/>
      <c r="AM15" s="294"/>
      <c r="AN15" s="294"/>
      <c r="AO15" s="294"/>
      <c r="AP15" s="294"/>
      <c r="AQ15" s="294"/>
      <c r="AR15" s="294"/>
      <c r="AS15" s="287">
        <f t="shared" si="2"/>
        <v>2635.07</v>
      </c>
      <c r="AT15" s="295">
        <f t="shared" si="7"/>
        <v>0</v>
      </c>
      <c r="AU15" s="370">
        <f t="shared" si="5"/>
        <v>40619.840000000004</v>
      </c>
    </row>
    <row r="16" spans="2:47" ht="13.5" customHeight="1">
      <c r="B16" s="694">
        <v>43896</v>
      </c>
      <c r="C16" s="302">
        <v>1</v>
      </c>
      <c r="D16" s="290">
        <f t="shared" si="6"/>
        <v>37984.770000000004</v>
      </c>
      <c r="E16" s="297"/>
      <c r="F16" s="275"/>
      <c r="G16" s="697"/>
      <c r="H16" s="277">
        <v>677.3</v>
      </c>
      <c r="I16" s="276">
        <v>349.12</v>
      </c>
      <c r="J16" s="298"/>
      <c r="K16" s="276">
        <v>437.6</v>
      </c>
      <c r="L16" s="276">
        <v>599.85</v>
      </c>
      <c r="M16" s="388">
        <v>630.30999999999995</v>
      </c>
      <c r="N16" s="387">
        <v>1577</v>
      </c>
      <c r="O16" s="278">
        <v>1138</v>
      </c>
      <c r="P16" s="278"/>
      <c r="Q16" s="278">
        <v>1506</v>
      </c>
      <c r="R16" s="278">
        <v>1128</v>
      </c>
      <c r="S16" s="278">
        <v>1471</v>
      </c>
      <c r="T16" s="291">
        <f t="shared" si="0"/>
        <v>2694.18</v>
      </c>
      <c r="U16" s="292">
        <f t="shared" si="1"/>
        <v>6820</v>
      </c>
      <c r="V16" s="292">
        <f t="shared" si="4"/>
        <v>0.39504105571847503</v>
      </c>
      <c r="W16" s="281"/>
      <c r="X16" s="293"/>
      <c r="Y16" s="266"/>
      <c r="Z16" s="293"/>
      <c r="AA16" s="276">
        <v>75.03</v>
      </c>
      <c r="AB16" s="360"/>
      <c r="AC16" s="293"/>
      <c r="AD16" s="293"/>
      <c r="AE16" s="293"/>
      <c r="AF16" s="293"/>
      <c r="AG16" s="293"/>
      <c r="AH16" s="293"/>
      <c r="AI16" s="293"/>
      <c r="AJ16" s="518"/>
      <c r="AK16" s="358">
        <f t="shared" si="3"/>
        <v>75.03</v>
      </c>
      <c r="AL16" s="294"/>
      <c r="AM16" s="294"/>
      <c r="AN16" s="294"/>
      <c r="AO16" s="294"/>
      <c r="AP16" s="294"/>
      <c r="AQ16" s="294"/>
      <c r="AR16" s="294"/>
      <c r="AS16" s="287">
        <f t="shared" si="2"/>
        <v>2769.21</v>
      </c>
      <c r="AT16" s="295">
        <f t="shared" si="7"/>
        <v>0</v>
      </c>
      <c r="AU16" s="370">
        <f t="shared" si="5"/>
        <v>37984.770000000004</v>
      </c>
    </row>
    <row r="17" spans="2:47" ht="13.5" customHeight="1">
      <c r="B17" s="694">
        <v>43897</v>
      </c>
      <c r="C17" s="302">
        <v>1</v>
      </c>
      <c r="D17" s="290">
        <f t="shared" si="6"/>
        <v>50215.560000000005</v>
      </c>
      <c r="E17" s="297">
        <v>15000</v>
      </c>
      <c r="F17" s="275"/>
      <c r="G17" s="697"/>
      <c r="H17" s="277">
        <v>570.91999999999996</v>
      </c>
      <c r="I17" s="276">
        <v>548.69000000000005</v>
      </c>
      <c r="J17" s="298"/>
      <c r="K17" s="276">
        <v>594.22</v>
      </c>
      <c r="L17" s="276">
        <v>599.88</v>
      </c>
      <c r="M17" s="388">
        <v>600.59</v>
      </c>
      <c r="N17" s="387">
        <v>1659</v>
      </c>
      <c r="O17" s="278">
        <v>1378</v>
      </c>
      <c r="P17" s="278"/>
      <c r="Q17" s="278">
        <v>1390</v>
      </c>
      <c r="R17" s="278">
        <v>1568</v>
      </c>
      <c r="S17" s="278">
        <v>1357</v>
      </c>
      <c r="T17" s="291">
        <f t="shared" si="0"/>
        <v>2914.3</v>
      </c>
      <c r="U17" s="292">
        <f t="shared" si="1"/>
        <v>7352</v>
      </c>
      <c r="V17" s="292">
        <f t="shared" si="4"/>
        <v>0.39639553862894455</v>
      </c>
      <c r="W17" s="281"/>
      <c r="X17" s="293"/>
      <c r="Y17" s="266">
        <v>60.54</v>
      </c>
      <c r="Z17" s="293"/>
      <c r="AA17" s="276">
        <v>26.72</v>
      </c>
      <c r="AB17" s="360"/>
      <c r="AC17" s="293"/>
      <c r="AD17" s="293"/>
      <c r="AE17" s="293"/>
      <c r="AF17" s="293"/>
      <c r="AG17" s="293"/>
      <c r="AH17" s="293"/>
      <c r="AI17" s="293"/>
      <c r="AJ17" s="518"/>
      <c r="AK17" s="358">
        <f t="shared" si="3"/>
        <v>87.259999999999991</v>
      </c>
      <c r="AL17" s="294"/>
      <c r="AM17" s="294"/>
      <c r="AN17" s="294"/>
      <c r="AO17" s="294"/>
      <c r="AP17" s="294"/>
      <c r="AQ17" s="294"/>
      <c r="AR17" s="294"/>
      <c r="AS17" s="287">
        <f t="shared" si="2"/>
        <v>3001.5600000000004</v>
      </c>
      <c r="AT17" s="295">
        <f t="shared" si="7"/>
        <v>0</v>
      </c>
      <c r="AU17" s="370">
        <f t="shared" si="5"/>
        <v>50215.560000000005</v>
      </c>
    </row>
    <row r="18" spans="2:47" ht="13.5" customHeight="1">
      <c r="B18" s="694">
        <v>43898</v>
      </c>
      <c r="C18" s="302">
        <v>0.59740000000000004</v>
      </c>
      <c r="D18" s="290">
        <f t="shared" si="6"/>
        <v>47214.000000000007</v>
      </c>
      <c r="E18" s="297"/>
      <c r="F18" s="275">
        <v>15000</v>
      </c>
      <c r="G18" s="698" t="s">
        <v>309</v>
      </c>
      <c r="H18" s="277">
        <v>446.59</v>
      </c>
      <c r="I18" s="276">
        <v>632.15</v>
      </c>
      <c r="J18" s="298"/>
      <c r="K18" s="276">
        <v>562.65</v>
      </c>
      <c r="L18" s="276">
        <v>397.61</v>
      </c>
      <c r="M18" s="388">
        <v>644.84</v>
      </c>
      <c r="N18" s="387">
        <v>1144</v>
      </c>
      <c r="O18" s="278">
        <v>1307</v>
      </c>
      <c r="P18" s="278"/>
      <c r="Q18" s="278">
        <v>1246</v>
      </c>
      <c r="R18" s="278">
        <v>866</v>
      </c>
      <c r="S18" s="278">
        <v>1627</v>
      </c>
      <c r="T18" s="291">
        <f t="shared" si="0"/>
        <v>2683.84</v>
      </c>
      <c r="U18" s="292">
        <f t="shared" si="1"/>
        <v>6190</v>
      </c>
      <c r="V18" s="292">
        <f t="shared" si="4"/>
        <v>0.43357673667205171</v>
      </c>
      <c r="W18" s="281"/>
      <c r="X18" s="293">
        <v>36.770000000000003</v>
      </c>
      <c r="Y18" s="266"/>
      <c r="Z18" s="276"/>
      <c r="AA18" s="276"/>
      <c r="AB18" s="360"/>
      <c r="AC18" s="293"/>
      <c r="AD18" s="293"/>
      <c r="AE18" s="293"/>
      <c r="AF18" s="293">
        <v>218.53</v>
      </c>
      <c r="AG18" s="293">
        <v>84.1</v>
      </c>
      <c r="AH18" s="293"/>
      <c r="AI18" s="293">
        <v>85</v>
      </c>
      <c r="AJ18" s="518"/>
      <c r="AK18" s="358">
        <f t="shared" si="3"/>
        <v>424.4</v>
      </c>
      <c r="AL18" s="294"/>
      <c r="AM18" s="294"/>
      <c r="AN18" s="294"/>
      <c r="AO18" s="294"/>
      <c r="AP18" s="294"/>
      <c r="AQ18" s="294"/>
      <c r="AR18" s="294"/>
      <c r="AS18" s="287">
        <f t="shared" si="2"/>
        <v>3108.2400000000002</v>
      </c>
      <c r="AT18" s="295">
        <f t="shared" si="7"/>
        <v>0</v>
      </c>
      <c r="AU18" s="370">
        <f t="shared" si="5"/>
        <v>47214.000000000007</v>
      </c>
    </row>
    <row r="19" spans="2:47" ht="13.5" customHeight="1">
      <c r="B19" s="694">
        <v>43899</v>
      </c>
      <c r="C19" s="302">
        <v>0.57140000000000002</v>
      </c>
      <c r="D19" s="290">
        <f t="shared" si="6"/>
        <v>44105.760000000009</v>
      </c>
      <c r="E19" s="297"/>
      <c r="F19" s="275"/>
      <c r="G19" s="697"/>
      <c r="H19" s="277">
        <v>410.12</v>
      </c>
      <c r="I19" s="276">
        <v>405.11</v>
      </c>
      <c r="J19" s="298"/>
      <c r="K19" s="276">
        <v>432.14</v>
      </c>
      <c r="L19" s="276">
        <v>545.85</v>
      </c>
      <c r="M19" s="388">
        <v>439.73</v>
      </c>
      <c r="N19" s="387">
        <v>1107</v>
      </c>
      <c r="O19" s="278">
        <v>190</v>
      </c>
      <c r="P19" s="278"/>
      <c r="Q19" s="278">
        <v>1076</v>
      </c>
      <c r="R19" s="278">
        <v>1021</v>
      </c>
      <c r="S19" s="278">
        <v>993</v>
      </c>
      <c r="T19" s="291">
        <f t="shared" si="0"/>
        <v>2232.9499999999998</v>
      </c>
      <c r="U19" s="292">
        <f t="shared" si="1"/>
        <v>4387</v>
      </c>
      <c r="V19" s="292">
        <f t="shared" si="4"/>
        <v>0.50899247777524503</v>
      </c>
      <c r="W19" s="281"/>
      <c r="X19" s="293">
        <v>67.709999999999994</v>
      </c>
      <c r="Y19" s="266"/>
      <c r="Z19" s="293"/>
      <c r="AA19" s="276">
        <v>41.83</v>
      </c>
      <c r="AB19" s="360"/>
      <c r="AC19" s="293"/>
      <c r="AD19" s="293"/>
      <c r="AE19" s="293">
        <v>61.3</v>
      </c>
      <c r="AF19" s="293"/>
      <c r="AG19" s="293"/>
      <c r="AH19" s="293"/>
      <c r="AI19" s="293"/>
      <c r="AJ19" s="518"/>
      <c r="AK19" s="358">
        <f t="shared" si="3"/>
        <v>170.83999999999997</v>
      </c>
      <c r="AL19" s="294"/>
      <c r="AM19" s="286"/>
      <c r="AN19" s="294"/>
      <c r="AO19" s="300"/>
      <c r="AP19" s="300"/>
      <c r="AQ19" s="300"/>
      <c r="AR19" s="301"/>
      <c r="AS19" s="287">
        <f t="shared" si="2"/>
        <v>2403.79</v>
      </c>
      <c r="AT19" s="295">
        <f t="shared" si="7"/>
        <v>0</v>
      </c>
      <c r="AU19" s="370">
        <f t="shared" si="5"/>
        <v>44105.760000000009</v>
      </c>
    </row>
    <row r="20" spans="2:47" ht="14.25">
      <c r="B20" s="694">
        <v>43900</v>
      </c>
      <c r="C20" s="302">
        <v>0.58440000000000003</v>
      </c>
      <c r="D20" s="290">
        <f t="shared" si="6"/>
        <v>41701.970000000008</v>
      </c>
      <c r="E20" s="297"/>
      <c r="F20" s="275"/>
      <c r="G20" s="697"/>
      <c r="H20" s="277">
        <v>569.67999999999995</v>
      </c>
      <c r="I20" s="293">
        <v>335.05</v>
      </c>
      <c r="J20" s="298"/>
      <c r="K20" s="276">
        <v>337.34</v>
      </c>
      <c r="L20" s="276">
        <v>348.81</v>
      </c>
      <c r="M20" s="757">
        <v>537.52</v>
      </c>
      <c r="N20" s="387">
        <v>1448</v>
      </c>
      <c r="O20" s="278">
        <v>843</v>
      </c>
      <c r="P20" s="278"/>
      <c r="Q20" s="278">
        <v>855</v>
      </c>
      <c r="R20" s="278">
        <v>1067</v>
      </c>
      <c r="S20" s="390">
        <v>1380</v>
      </c>
      <c r="T20" s="291">
        <f t="shared" si="0"/>
        <v>2128.3999999999996</v>
      </c>
      <c r="U20" s="292">
        <f t="shared" si="1"/>
        <v>5593</v>
      </c>
      <c r="V20" s="292">
        <f t="shared" si="4"/>
        <v>0.38054711246200601</v>
      </c>
      <c r="W20" s="281"/>
      <c r="X20" s="293">
        <v>11.76</v>
      </c>
      <c r="Y20" s="266"/>
      <c r="Z20" s="293"/>
      <c r="AA20" s="276">
        <v>22.12</v>
      </c>
      <c r="AB20" s="360"/>
      <c r="AC20" s="293"/>
      <c r="AD20" s="293"/>
      <c r="AE20" s="293"/>
      <c r="AF20" s="293"/>
      <c r="AG20" s="293"/>
      <c r="AH20" s="293"/>
      <c r="AI20" s="293"/>
      <c r="AJ20" s="518"/>
      <c r="AK20" s="358">
        <f t="shared" si="3"/>
        <v>33.880000000000003</v>
      </c>
      <c r="AL20" s="294"/>
      <c r="AM20" s="286"/>
      <c r="AN20" s="294"/>
      <c r="AO20" s="300"/>
      <c r="AP20" s="300"/>
      <c r="AQ20" s="300"/>
      <c r="AR20" s="301"/>
      <c r="AS20" s="287">
        <f t="shared" si="2"/>
        <v>2162.2799999999997</v>
      </c>
      <c r="AT20" s="295">
        <f t="shared" si="7"/>
        <v>0</v>
      </c>
      <c r="AU20" s="370">
        <f t="shared" si="5"/>
        <v>41701.970000000008</v>
      </c>
    </row>
    <row r="21" spans="2:47" ht="14.25">
      <c r="B21" s="694">
        <v>43901</v>
      </c>
      <c r="C21" s="302">
        <v>3.9E-2</v>
      </c>
      <c r="D21" s="290">
        <f t="shared" si="6"/>
        <v>39539.69000000001</v>
      </c>
      <c r="E21" s="297"/>
      <c r="F21" s="275"/>
      <c r="G21" s="697"/>
      <c r="H21" s="277">
        <v>576.78</v>
      </c>
      <c r="I21" s="293">
        <v>292.68</v>
      </c>
      <c r="J21" s="298"/>
      <c r="K21" s="276">
        <v>443.8</v>
      </c>
      <c r="L21" s="276"/>
      <c r="M21" s="276">
        <v>394.59</v>
      </c>
      <c r="N21" s="387">
        <v>1249</v>
      </c>
      <c r="O21" s="387">
        <v>714</v>
      </c>
      <c r="P21" s="278"/>
      <c r="Q21" s="278">
        <v>1355</v>
      </c>
      <c r="R21" s="278"/>
      <c r="S21" s="278">
        <v>1323</v>
      </c>
      <c r="T21" s="291">
        <f t="shared" si="0"/>
        <v>1707.85</v>
      </c>
      <c r="U21" s="292">
        <f t="shared" si="1"/>
        <v>4641</v>
      </c>
      <c r="V21" s="292">
        <f t="shared" si="4"/>
        <v>0.36799181210945914</v>
      </c>
      <c r="W21" s="281"/>
      <c r="X21" s="293"/>
      <c r="Y21" s="266">
        <v>41.65</v>
      </c>
      <c r="Z21" s="293"/>
      <c r="AA21" s="276">
        <v>33.119999999999997</v>
      </c>
      <c r="AB21" s="360"/>
      <c r="AC21" s="293"/>
      <c r="AD21" s="293"/>
      <c r="AE21" s="293"/>
      <c r="AF21" s="293"/>
      <c r="AG21" s="293"/>
      <c r="AH21" s="293"/>
      <c r="AI21" s="293">
        <v>130</v>
      </c>
      <c r="AJ21" s="518"/>
      <c r="AK21" s="358">
        <f t="shared" si="3"/>
        <v>204.76999999999998</v>
      </c>
      <c r="AL21" s="285"/>
      <c r="AM21" s="286"/>
      <c r="AN21" s="294"/>
      <c r="AO21" s="300"/>
      <c r="AP21" s="300"/>
      <c r="AQ21" s="300"/>
      <c r="AR21" s="301"/>
      <c r="AS21" s="287">
        <f>SUM(AK21+T21)</f>
        <v>1912.62</v>
      </c>
      <c r="AT21" s="295">
        <f t="shared" si="7"/>
        <v>0</v>
      </c>
      <c r="AU21" s="370">
        <f t="shared" si="5"/>
        <v>39539.69000000001</v>
      </c>
    </row>
    <row r="22" spans="2:47" ht="14.25">
      <c r="B22" s="694">
        <v>43902</v>
      </c>
      <c r="C22" s="302">
        <v>3.9E-2</v>
      </c>
      <c r="D22" s="290">
        <f t="shared" si="6"/>
        <v>37627.070000000007</v>
      </c>
      <c r="E22" s="297"/>
      <c r="F22" s="275"/>
      <c r="G22" s="697"/>
      <c r="H22" s="277"/>
      <c r="I22" s="276">
        <v>437.79</v>
      </c>
      <c r="J22" s="298">
        <v>1000</v>
      </c>
      <c r="K22" s="276">
        <v>286.83</v>
      </c>
      <c r="L22" s="276">
        <v>610.9</v>
      </c>
      <c r="M22" s="757">
        <v>401.98</v>
      </c>
      <c r="N22" s="387"/>
      <c r="O22" s="387">
        <v>1267</v>
      </c>
      <c r="P22" s="278"/>
      <c r="Q22" s="278">
        <v>662</v>
      </c>
      <c r="R22" s="278">
        <v>1191</v>
      </c>
      <c r="S22" s="278">
        <v>1089</v>
      </c>
      <c r="T22" s="291">
        <f t="shared" si="0"/>
        <v>2737.5</v>
      </c>
      <c r="U22" s="292">
        <f t="shared" si="1"/>
        <v>4209</v>
      </c>
      <c r="V22" s="292">
        <f t="shared" si="4"/>
        <v>0.65039201710620098</v>
      </c>
      <c r="W22" s="281"/>
      <c r="X22" s="293"/>
      <c r="Y22" s="266"/>
      <c r="Z22" s="293"/>
      <c r="AA22" s="276">
        <v>106.07</v>
      </c>
      <c r="AB22" s="360"/>
      <c r="AC22" s="293"/>
      <c r="AD22" s="293"/>
      <c r="AE22" s="293"/>
      <c r="AF22" s="293"/>
      <c r="AG22" s="293"/>
      <c r="AH22" s="293"/>
      <c r="AI22" s="293"/>
      <c r="AJ22" s="518"/>
      <c r="AK22" s="358">
        <f t="shared" si="3"/>
        <v>106.07</v>
      </c>
      <c r="AL22" s="285"/>
      <c r="AM22" s="286"/>
      <c r="AN22" s="294"/>
      <c r="AO22" s="300"/>
      <c r="AP22" s="300"/>
      <c r="AQ22" s="300"/>
      <c r="AR22" s="301"/>
      <c r="AS22" s="287">
        <f t="shared" si="2"/>
        <v>2843.57</v>
      </c>
      <c r="AT22" s="295">
        <f t="shared" si="7"/>
        <v>0</v>
      </c>
      <c r="AU22" s="370">
        <f t="shared" si="5"/>
        <v>37627.070000000007</v>
      </c>
    </row>
    <row r="23" spans="2:47" ht="14.25">
      <c r="B23" s="694">
        <v>43903</v>
      </c>
      <c r="C23" s="302">
        <v>3.9E-2</v>
      </c>
      <c r="D23" s="290">
        <f t="shared" si="6"/>
        <v>34783.500000000007</v>
      </c>
      <c r="E23" s="297"/>
      <c r="F23" s="275"/>
      <c r="G23" s="697"/>
      <c r="H23" s="277"/>
      <c r="I23" s="293">
        <v>273.2</v>
      </c>
      <c r="J23" s="298">
        <v>1000.25</v>
      </c>
      <c r="K23" s="276">
        <v>367.94</v>
      </c>
      <c r="L23" s="276">
        <v>581.70000000000005</v>
      </c>
      <c r="M23" s="757">
        <v>315.05</v>
      </c>
      <c r="N23" s="387"/>
      <c r="O23" s="278">
        <v>569</v>
      </c>
      <c r="P23" s="278"/>
      <c r="Q23" s="278">
        <v>1327</v>
      </c>
      <c r="R23" s="278">
        <v>1159</v>
      </c>
      <c r="S23" s="278">
        <v>863</v>
      </c>
      <c r="T23" s="291">
        <f t="shared" si="0"/>
        <v>2538.1400000000003</v>
      </c>
      <c r="U23" s="292">
        <f t="shared" si="1"/>
        <v>3918</v>
      </c>
      <c r="V23" s="292">
        <f t="shared" si="4"/>
        <v>0.64781521184277702</v>
      </c>
      <c r="W23" s="281"/>
      <c r="X23" s="293">
        <v>74.41</v>
      </c>
      <c r="Y23" s="266">
        <v>35.020000000000003</v>
      </c>
      <c r="Z23" s="293"/>
      <c r="AA23" s="276">
        <v>53.52</v>
      </c>
      <c r="AB23" s="360"/>
      <c r="AC23" s="293">
        <v>70.8</v>
      </c>
      <c r="AD23" s="293"/>
      <c r="AE23" s="293"/>
      <c r="AF23" s="293"/>
      <c r="AG23" s="293"/>
      <c r="AH23" s="293"/>
      <c r="AI23" s="293"/>
      <c r="AJ23" s="518"/>
      <c r="AK23" s="358">
        <f t="shared" si="3"/>
        <v>233.75</v>
      </c>
      <c r="AL23" s="285"/>
      <c r="AM23" s="285"/>
      <c r="AN23" s="285"/>
      <c r="AO23" s="285"/>
      <c r="AP23" s="285"/>
      <c r="AQ23" s="285"/>
      <c r="AR23" s="285"/>
      <c r="AS23" s="287">
        <f t="shared" si="2"/>
        <v>2771.8900000000003</v>
      </c>
      <c r="AT23" s="295">
        <f t="shared" si="7"/>
        <v>0</v>
      </c>
      <c r="AU23" s="370">
        <f t="shared" si="5"/>
        <v>34783.500000000007</v>
      </c>
    </row>
    <row r="24" spans="2:47" ht="14.25">
      <c r="B24" s="694">
        <v>43904</v>
      </c>
      <c r="C24" s="302">
        <v>2.86E-2</v>
      </c>
      <c r="D24" s="290">
        <f t="shared" si="6"/>
        <v>32011.610000000008</v>
      </c>
      <c r="E24" s="275"/>
      <c r="F24" s="275"/>
      <c r="G24" s="697"/>
      <c r="H24" s="277"/>
      <c r="I24" s="293">
        <v>286.52</v>
      </c>
      <c r="J24" s="298"/>
      <c r="K24" s="276">
        <v>553.03</v>
      </c>
      <c r="L24" s="276"/>
      <c r="M24" s="757">
        <v>467.13</v>
      </c>
      <c r="N24" s="387"/>
      <c r="O24" s="387">
        <v>1034</v>
      </c>
      <c r="P24" s="278"/>
      <c r="Q24" s="278">
        <v>1332</v>
      </c>
      <c r="R24" s="278"/>
      <c r="S24" s="278">
        <v>1131</v>
      </c>
      <c r="T24" s="291">
        <f t="shared" si="0"/>
        <v>1306.6799999999998</v>
      </c>
      <c r="U24" s="292">
        <f t="shared" si="1"/>
        <v>3497</v>
      </c>
      <c r="V24" s="292">
        <f t="shared" si="4"/>
        <v>0.37365742064626817</v>
      </c>
      <c r="W24" s="281"/>
      <c r="X24" s="293"/>
      <c r="Y24" s="266"/>
      <c r="Z24" s="293"/>
      <c r="AA24" s="276">
        <v>8.4</v>
      </c>
      <c r="AB24" s="360"/>
      <c r="AC24" s="293"/>
      <c r="AD24" s="293"/>
      <c r="AE24" s="293"/>
      <c r="AF24" s="293"/>
      <c r="AG24" s="293"/>
      <c r="AH24" s="293"/>
      <c r="AI24" s="293">
        <v>108</v>
      </c>
      <c r="AJ24" s="518"/>
      <c r="AK24" s="358">
        <f t="shared" si="3"/>
        <v>116.4</v>
      </c>
      <c r="AL24" s="285"/>
      <c r="AM24" s="285"/>
      <c r="AN24" s="285"/>
      <c r="AO24" s="285"/>
      <c r="AP24" s="285"/>
      <c r="AQ24" s="285"/>
      <c r="AR24" s="285"/>
      <c r="AS24" s="287">
        <f t="shared" si="2"/>
        <v>1423.08</v>
      </c>
      <c r="AT24" s="295">
        <f t="shared" si="7"/>
        <v>0</v>
      </c>
      <c r="AU24" s="370">
        <f t="shared" si="5"/>
        <v>32011.610000000008</v>
      </c>
    </row>
    <row r="25" spans="2:47" ht="14.25">
      <c r="B25" s="694">
        <v>43905</v>
      </c>
      <c r="C25" s="302">
        <v>6.4899999999999999E-2</v>
      </c>
      <c r="D25" s="290">
        <f t="shared" si="6"/>
        <v>30588.530000000006</v>
      </c>
      <c r="E25" s="297"/>
      <c r="F25" s="275"/>
      <c r="G25" s="559"/>
      <c r="H25" s="277"/>
      <c r="I25" s="293">
        <v>266.48</v>
      </c>
      <c r="J25" s="298"/>
      <c r="K25" s="276">
        <v>462.65</v>
      </c>
      <c r="L25" s="276">
        <v>524.85</v>
      </c>
      <c r="M25" s="757">
        <v>167.48</v>
      </c>
      <c r="N25" s="387"/>
      <c r="O25" s="278">
        <v>637</v>
      </c>
      <c r="P25" s="278"/>
      <c r="Q25" s="278">
        <v>1241</v>
      </c>
      <c r="R25" s="278">
        <v>1228</v>
      </c>
      <c r="S25" s="278">
        <v>478</v>
      </c>
      <c r="T25" s="291">
        <f t="shared" si="0"/>
        <v>1421.46</v>
      </c>
      <c r="U25" s="292">
        <f t="shared" si="1"/>
        <v>3584</v>
      </c>
      <c r="V25" s="292">
        <f t="shared" si="4"/>
        <v>0.3966127232142857</v>
      </c>
      <c r="W25" s="281"/>
      <c r="X25" s="293"/>
      <c r="Y25" s="266">
        <v>31.16</v>
      </c>
      <c r="Z25" s="293"/>
      <c r="AA25" s="276">
        <v>41.02</v>
      </c>
      <c r="AB25" s="360"/>
      <c r="AC25" s="293"/>
      <c r="AD25" s="293"/>
      <c r="AE25" s="293">
        <v>178.78</v>
      </c>
      <c r="AF25" s="293"/>
      <c r="AG25" s="293"/>
      <c r="AH25" s="293"/>
      <c r="AI25" s="293">
        <v>37</v>
      </c>
      <c r="AJ25" s="518"/>
      <c r="AK25" s="358">
        <f t="shared" si="3"/>
        <v>287.96000000000004</v>
      </c>
      <c r="AL25" s="285"/>
      <c r="AM25" s="285"/>
      <c r="AN25" s="285"/>
      <c r="AO25" s="285"/>
      <c r="AP25" s="285"/>
      <c r="AQ25" s="285"/>
      <c r="AR25" s="285"/>
      <c r="AS25" s="287">
        <f t="shared" si="2"/>
        <v>1709.42</v>
      </c>
      <c r="AT25" s="295">
        <f t="shared" si="7"/>
        <v>0</v>
      </c>
      <c r="AU25" s="370">
        <f t="shared" si="5"/>
        <v>30588.530000000006</v>
      </c>
    </row>
    <row r="26" spans="2:47" ht="14.25">
      <c r="B26" s="694">
        <v>43906</v>
      </c>
      <c r="C26" s="302">
        <v>5.1900000000000002E-2</v>
      </c>
      <c r="D26" s="290">
        <f t="shared" si="6"/>
        <v>28879.110000000008</v>
      </c>
      <c r="E26" s="297"/>
      <c r="F26" s="275"/>
      <c r="G26" s="559"/>
      <c r="H26" s="758"/>
      <c r="I26" s="293">
        <v>427.68</v>
      </c>
      <c r="J26" s="298"/>
      <c r="K26" s="276">
        <v>349.6</v>
      </c>
      <c r="L26" s="276">
        <v>281.12</v>
      </c>
      <c r="M26" s="757">
        <v>308.42</v>
      </c>
      <c r="N26" s="387"/>
      <c r="O26" s="278">
        <v>1027</v>
      </c>
      <c r="P26" s="278"/>
      <c r="Q26" s="278">
        <v>892</v>
      </c>
      <c r="R26" s="278">
        <v>649</v>
      </c>
      <c r="S26" s="278">
        <v>777</v>
      </c>
      <c r="T26" s="291">
        <f t="shared" si="0"/>
        <v>1366.8200000000002</v>
      </c>
      <c r="U26" s="292">
        <f t="shared" si="1"/>
        <v>3345</v>
      </c>
      <c r="V26" s="292">
        <f t="shared" si="4"/>
        <v>0.40861584454409572</v>
      </c>
      <c r="W26" s="281"/>
      <c r="X26" s="293">
        <v>48.54</v>
      </c>
      <c r="Y26" s="266"/>
      <c r="Z26" s="293"/>
      <c r="AA26" s="293">
        <v>30.75</v>
      </c>
      <c r="AB26" s="360"/>
      <c r="AC26" s="293"/>
      <c r="AD26" s="293"/>
      <c r="AE26" s="293"/>
      <c r="AF26" s="293"/>
      <c r="AG26" s="293"/>
      <c r="AH26" s="293"/>
      <c r="AI26" s="293"/>
      <c r="AJ26" s="518"/>
      <c r="AK26" s="358">
        <f t="shared" si="3"/>
        <v>79.289999999999992</v>
      </c>
      <c r="AL26" s="285"/>
      <c r="AM26" s="285"/>
      <c r="AN26" s="285"/>
      <c r="AO26" s="285"/>
      <c r="AP26" s="285"/>
      <c r="AQ26" s="285"/>
      <c r="AR26" s="285"/>
      <c r="AS26" s="287">
        <f t="shared" si="2"/>
        <v>1446.1100000000001</v>
      </c>
      <c r="AT26" s="295">
        <f t="shared" si="7"/>
        <v>0</v>
      </c>
      <c r="AU26" s="370">
        <f t="shared" si="5"/>
        <v>28879.110000000008</v>
      </c>
    </row>
    <row r="27" spans="2:47" ht="14.25">
      <c r="B27" s="694">
        <v>43907</v>
      </c>
      <c r="C27" s="302">
        <v>2.5999999999999999E-2</v>
      </c>
      <c r="D27" s="290">
        <f t="shared" si="6"/>
        <v>45433.000000000007</v>
      </c>
      <c r="E27" s="297">
        <v>18000</v>
      </c>
      <c r="F27" s="275">
        <v>18000</v>
      </c>
      <c r="G27" s="696" t="s">
        <v>309</v>
      </c>
      <c r="H27" s="277"/>
      <c r="I27" s="293">
        <v>316.83</v>
      </c>
      <c r="J27" s="298"/>
      <c r="K27" s="276">
        <v>356.25</v>
      </c>
      <c r="L27" s="276">
        <v>230.72</v>
      </c>
      <c r="M27" s="757">
        <v>311.62</v>
      </c>
      <c r="N27" s="387"/>
      <c r="O27" s="278">
        <v>876</v>
      </c>
      <c r="P27" s="278"/>
      <c r="Q27" s="278">
        <v>925</v>
      </c>
      <c r="R27" s="278">
        <v>604</v>
      </c>
      <c r="S27" s="278">
        <v>662</v>
      </c>
      <c r="T27" s="291">
        <f t="shared" si="0"/>
        <v>1215.42</v>
      </c>
      <c r="U27" s="292">
        <f t="shared" si="1"/>
        <v>3067</v>
      </c>
      <c r="V27" s="292">
        <f t="shared" si="4"/>
        <v>0.39628953374633197</v>
      </c>
      <c r="W27" s="281"/>
      <c r="X27" s="293"/>
      <c r="Y27" s="266">
        <v>20.5</v>
      </c>
      <c r="Z27" s="293"/>
      <c r="AA27" s="276">
        <v>29.92</v>
      </c>
      <c r="AB27" s="360"/>
      <c r="AC27" s="293"/>
      <c r="AD27" s="293"/>
      <c r="AE27" s="293"/>
      <c r="AF27" s="293"/>
      <c r="AG27" s="293"/>
      <c r="AH27" s="293"/>
      <c r="AI27" s="293"/>
      <c r="AJ27" s="518"/>
      <c r="AK27" s="358">
        <f t="shared" si="3"/>
        <v>50.42</v>
      </c>
      <c r="AL27" s="285"/>
      <c r="AM27" s="285"/>
      <c r="AN27" s="285"/>
      <c r="AO27" s="285"/>
      <c r="AP27" s="285"/>
      <c r="AQ27" s="285"/>
      <c r="AR27" s="285"/>
      <c r="AS27" s="287">
        <f t="shared" si="2"/>
        <v>1265.8400000000001</v>
      </c>
      <c r="AT27" s="295">
        <f t="shared" si="7"/>
        <v>0</v>
      </c>
      <c r="AU27" s="370">
        <f t="shared" si="5"/>
        <v>45433.000000000007</v>
      </c>
    </row>
    <row r="28" spans="2:47" ht="14.25">
      <c r="B28" s="694">
        <v>43908</v>
      </c>
      <c r="C28" s="302">
        <v>5.1900000000000002E-2</v>
      </c>
      <c r="D28" s="290">
        <f t="shared" si="6"/>
        <v>44167.16</v>
      </c>
      <c r="E28" s="297"/>
      <c r="F28" s="275"/>
      <c r="G28" s="697"/>
      <c r="H28" s="277"/>
      <c r="I28" s="293">
        <v>340</v>
      </c>
      <c r="J28" s="277"/>
      <c r="K28" s="276">
        <v>324.97000000000003</v>
      </c>
      <c r="L28" s="276">
        <v>265.99</v>
      </c>
      <c r="M28" s="757">
        <v>261.86</v>
      </c>
      <c r="N28" s="387"/>
      <c r="O28" s="278">
        <v>842</v>
      </c>
      <c r="P28" s="278"/>
      <c r="Q28" s="278">
        <v>833</v>
      </c>
      <c r="R28" s="278">
        <v>649</v>
      </c>
      <c r="S28" s="278">
        <v>646</v>
      </c>
      <c r="T28" s="291">
        <f t="shared" si="0"/>
        <v>1192.8200000000002</v>
      </c>
      <c r="U28" s="292">
        <f t="shared" si="1"/>
        <v>2970</v>
      </c>
      <c r="V28" s="292">
        <f t="shared" si="4"/>
        <v>0.40162289562289566</v>
      </c>
      <c r="W28" s="281"/>
      <c r="X28" s="293"/>
      <c r="Y28" s="266"/>
      <c r="Z28" s="293"/>
      <c r="AA28" s="276"/>
      <c r="AB28" s="360"/>
      <c r="AC28" s="293"/>
      <c r="AD28" s="293"/>
      <c r="AE28" s="293"/>
      <c r="AF28" s="293"/>
      <c r="AG28" s="293"/>
      <c r="AH28" s="293"/>
      <c r="AI28" s="293">
        <v>156</v>
      </c>
      <c r="AJ28" s="518"/>
      <c r="AK28" s="358">
        <f>SUM(W28:AJ28)</f>
        <v>156</v>
      </c>
      <c r="AL28" s="285"/>
      <c r="AM28" s="285"/>
      <c r="AN28" s="285"/>
      <c r="AO28" s="285"/>
      <c r="AP28" s="285"/>
      <c r="AQ28" s="285"/>
      <c r="AR28" s="285"/>
      <c r="AS28" s="287">
        <f t="shared" si="2"/>
        <v>1348.8200000000002</v>
      </c>
      <c r="AT28" s="295">
        <f t="shared" si="7"/>
        <v>0</v>
      </c>
      <c r="AU28" s="370">
        <f t="shared" si="5"/>
        <v>44167.16</v>
      </c>
    </row>
    <row r="29" spans="2:47" ht="14.25">
      <c r="B29" s="694">
        <v>43909</v>
      </c>
      <c r="C29" s="302">
        <v>0.02</v>
      </c>
      <c r="D29" s="290">
        <f t="shared" si="6"/>
        <v>42818.340000000004</v>
      </c>
      <c r="E29" s="297"/>
      <c r="F29" s="275"/>
      <c r="G29" s="697"/>
      <c r="H29" s="277"/>
      <c r="I29" s="293">
        <v>245.5</v>
      </c>
      <c r="J29" s="277"/>
      <c r="K29" s="276">
        <v>342.69</v>
      </c>
      <c r="L29" s="276">
        <v>260.12</v>
      </c>
      <c r="M29" s="757">
        <v>253.46</v>
      </c>
      <c r="N29" s="387"/>
      <c r="O29" s="278">
        <v>782</v>
      </c>
      <c r="P29" s="278"/>
      <c r="Q29" s="278">
        <v>816</v>
      </c>
      <c r="R29" s="278">
        <v>498</v>
      </c>
      <c r="S29" s="278">
        <v>745</v>
      </c>
      <c r="T29" s="291">
        <f t="shared" si="0"/>
        <v>1101.77</v>
      </c>
      <c r="U29" s="292">
        <f t="shared" si="1"/>
        <v>2841</v>
      </c>
      <c r="V29" s="292">
        <f t="shared" si="4"/>
        <v>0.38781063005983807</v>
      </c>
      <c r="W29" s="281"/>
      <c r="X29" s="293">
        <v>42.63</v>
      </c>
      <c r="Y29" s="266"/>
      <c r="Z29" s="293">
        <v>54.38</v>
      </c>
      <c r="AA29" s="276"/>
      <c r="AB29" s="360"/>
      <c r="AC29" s="293"/>
      <c r="AD29" s="293"/>
      <c r="AE29" s="293"/>
      <c r="AF29" s="293"/>
      <c r="AG29" s="293"/>
      <c r="AH29" s="293"/>
      <c r="AI29" s="293"/>
      <c r="AJ29" s="518"/>
      <c r="AK29" s="358">
        <f t="shared" si="3"/>
        <v>97.01</v>
      </c>
      <c r="AL29" s="285"/>
      <c r="AM29" s="285"/>
      <c r="AN29" s="285"/>
      <c r="AO29" s="285"/>
      <c r="AP29" s="285"/>
      <c r="AQ29" s="285"/>
      <c r="AR29" s="285"/>
      <c r="AS29" s="287">
        <f t="shared" si="2"/>
        <v>1198.78</v>
      </c>
      <c r="AT29" s="295">
        <f t="shared" si="7"/>
        <v>0</v>
      </c>
      <c r="AU29" s="370">
        <f t="shared" si="5"/>
        <v>42818.340000000004</v>
      </c>
    </row>
    <row r="30" spans="2:47" ht="14.25">
      <c r="B30" s="694">
        <v>43910</v>
      </c>
      <c r="C30" s="302">
        <v>0.02</v>
      </c>
      <c r="D30" s="290">
        <f t="shared" si="6"/>
        <v>41619.560000000005</v>
      </c>
      <c r="E30" s="297"/>
      <c r="F30" s="275"/>
      <c r="G30" s="697"/>
      <c r="H30" s="277"/>
      <c r="I30" s="293">
        <v>330.91</v>
      </c>
      <c r="J30" s="277"/>
      <c r="K30" s="276">
        <v>351.75</v>
      </c>
      <c r="L30" s="276">
        <v>208.44</v>
      </c>
      <c r="M30" s="757">
        <v>305.33</v>
      </c>
      <c r="N30" s="387"/>
      <c r="O30" s="278">
        <v>825</v>
      </c>
      <c r="P30" s="278"/>
      <c r="Q30" s="278">
        <v>908</v>
      </c>
      <c r="R30" s="278">
        <v>498</v>
      </c>
      <c r="S30" s="278">
        <v>731</v>
      </c>
      <c r="T30" s="291">
        <f t="shared" si="0"/>
        <v>1196.43</v>
      </c>
      <c r="U30" s="292">
        <f t="shared" si="1"/>
        <v>2962</v>
      </c>
      <c r="V30" s="292">
        <f t="shared" si="4"/>
        <v>0.40392640108035116</v>
      </c>
      <c r="W30" s="281"/>
      <c r="X30" s="293"/>
      <c r="Y30" s="266"/>
      <c r="Z30" s="293"/>
      <c r="AA30" s="276"/>
      <c r="AB30" s="360"/>
      <c r="AC30" s="293"/>
      <c r="AD30" s="293"/>
      <c r="AE30" s="293"/>
      <c r="AF30" s="293"/>
      <c r="AG30" s="293"/>
      <c r="AH30" s="293"/>
      <c r="AI30" s="293"/>
      <c r="AJ30" s="518"/>
      <c r="AK30" s="358">
        <f t="shared" si="3"/>
        <v>0</v>
      </c>
      <c r="AL30" s="285"/>
      <c r="AM30" s="285"/>
      <c r="AN30" s="285"/>
      <c r="AO30" s="285"/>
      <c r="AP30" s="285"/>
      <c r="AQ30" s="285"/>
      <c r="AR30" s="285"/>
      <c r="AS30" s="287">
        <f t="shared" si="2"/>
        <v>1196.43</v>
      </c>
      <c r="AT30" s="295">
        <f t="shared" si="7"/>
        <v>0</v>
      </c>
      <c r="AU30" s="370">
        <f t="shared" si="5"/>
        <v>41619.560000000005</v>
      </c>
    </row>
    <row r="31" spans="2:47" ht="14.25">
      <c r="B31" s="694">
        <v>43911</v>
      </c>
      <c r="C31" s="302"/>
      <c r="D31" s="290">
        <f t="shared" si="6"/>
        <v>40423.130000000005</v>
      </c>
      <c r="E31" s="297"/>
      <c r="F31" s="275"/>
      <c r="G31" s="697"/>
      <c r="H31" s="277"/>
      <c r="I31" s="293">
        <v>345.09</v>
      </c>
      <c r="J31" s="277"/>
      <c r="K31" s="276">
        <v>263.81</v>
      </c>
      <c r="L31" s="276">
        <v>78.73</v>
      </c>
      <c r="M31" s="757">
        <v>415.45</v>
      </c>
      <c r="N31" s="387"/>
      <c r="O31" s="278">
        <v>817</v>
      </c>
      <c r="P31" s="278"/>
      <c r="Q31" s="278">
        <v>649</v>
      </c>
      <c r="R31" s="278">
        <v>259</v>
      </c>
      <c r="S31" s="278">
        <v>942</v>
      </c>
      <c r="T31" s="291">
        <f t="shared" si="0"/>
        <v>1103.08</v>
      </c>
      <c r="U31" s="292">
        <f t="shared" si="1"/>
        <v>2667</v>
      </c>
      <c r="V31" s="292">
        <f t="shared" si="4"/>
        <v>0.41360329958755154</v>
      </c>
      <c r="W31" s="281"/>
      <c r="X31" s="293">
        <v>30.81</v>
      </c>
      <c r="Y31" s="266">
        <v>23.87</v>
      </c>
      <c r="Z31" s="293"/>
      <c r="AA31" s="276">
        <v>72.459999999999994</v>
      </c>
      <c r="AB31" s="360"/>
      <c r="AC31" s="293"/>
      <c r="AD31" s="293"/>
      <c r="AE31" s="293"/>
      <c r="AF31" s="293"/>
      <c r="AG31" s="293"/>
      <c r="AH31" s="293"/>
      <c r="AI31" s="293"/>
      <c r="AJ31" s="518">
        <v>20</v>
      </c>
      <c r="AK31" s="358">
        <f t="shared" si="3"/>
        <v>147.13999999999999</v>
      </c>
      <c r="AL31" s="285"/>
      <c r="AM31" s="285"/>
      <c r="AN31" s="285"/>
      <c r="AO31" s="285"/>
      <c r="AP31" s="285"/>
      <c r="AQ31" s="285"/>
      <c r="AR31" s="285"/>
      <c r="AS31" s="287">
        <f t="shared" si="2"/>
        <v>1250.2199999999998</v>
      </c>
      <c r="AT31" s="295">
        <f t="shared" si="7"/>
        <v>0</v>
      </c>
      <c r="AU31" s="370">
        <f t="shared" si="5"/>
        <v>40423.130000000005</v>
      </c>
    </row>
    <row r="32" spans="2:47" ht="14.25">
      <c r="B32" s="694">
        <v>43912</v>
      </c>
      <c r="C32" s="302"/>
      <c r="D32" s="290">
        <f t="shared" si="6"/>
        <v>39172.910000000003</v>
      </c>
      <c r="E32" s="297"/>
      <c r="F32" s="275">
        <v>12000</v>
      </c>
      <c r="G32" s="696" t="s">
        <v>309</v>
      </c>
      <c r="H32" s="277"/>
      <c r="I32" s="293">
        <v>169.2</v>
      </c>
      <c r="J32" s="277"/>
      <c r="K32" s="276">
        <v>141.18</v>
      </c>
      <c r="L32" s="276">
        <v>270.2</v>
      </c>
      <c r="M32" s="757">
        <v>347.17</v>
      </c>
      <c r="N32" s="387"/>
      <c r="O32" s="278">
        <v>196</v>
      </c>
      <c r="P32" s="278"/>
      <c r="Q32" s="278">
        <v>381</v>
      </c>
      <c r="R32" s="278">
        <v>693</v>
      </c>
      <c r="S32" s="278">
        <v>1109</v>
      </c>
      <c r="T32" s="291">
        <f t="shared" si="0"/>
        <v>927.75</v>
      </c>
      <c r="U32" s="292">
        <f t="shared" si="1"/>
        <v>2379</v>
      </c>
      <c r="V32" s="292">
        <f t="shared" si="4"/>
        <v>0.38997477931904162</v>
      </c>
      <c r="W32" s="281"/>
      <c r="X32" s="293"/>
      <c r="Y32" s="266"/>
      <c r="Z32" s="293"/>
      <c r="AA32" s="276"/>
      <c r="AB32" s="360"/>
      <c r="AC32" s="293"/>
      <c r="AD32" s="293"/>
      <c r="AE32" s="293"/>
      <c r="AF32" s="293"/>
      <c r="AG32" s="293"/>
      <c r="AH32" s="293"/>
      <c r="AI32" s="293"/>
      <c r="AJ32" s="518"/>
      <c r="AK32" s="358">
        <f t="shared" si="3"/>
        <v>0</v>
      </c>
      <c r="AL32" s="285"/>
      <c r="AM32" s="285"/>
      <c r="AN32" s="285"/>
      <c r="AO32" s="285"/>
      <c r="AP32" s="285"/>
      <c r="AQ32" s="285"/>
      <c r="AR32" s="285"/>
      <c r="AS32" s="287">
        <f t="shared" si="2"/>
        <v>927.75</v>
      </c>
      <c r="AT32" s="295">
        <f t="shared" si="7"/>
        <v>0</v>
      </c>
      <c r="AU32" s="370">
        <f t="shared" si="5"/>
        <v>39172.910000000003</v>
      </c>
    </row>
    <row r="33" spans="2:48" ht="14.25">
      <c r="B33" s="694">
        <v>43913</v>
      </c>
      <c r="C33" s="302"/>
      <c r="D33" s="290">
        <f t="shared" si="6"/>
        <v>50245.16</v>
      </c>
      <c r="E33" s="297">
        <v>12000</v>
      </c>
      <c r="F33" s="275"/>
      <c r="G33" s="697"/>
      <c r="H33" s="277"/>
      <c r="I33" s="293">
        <v>290.86</v>
      </c>
      <c r="J33" s="277"/>
      <c r="K33" s="276">
        <v>350.59</v>
      </c>
      <c r="L33" s="276">
        <v>96.1</v>
      </c>
      <c r="M33" s="757">
        <v>390.88</v>
      </c>
      <c r="N33" s="387"/>
      <c r="O33" s="278">
        <v>629</v>
      </c>
      <c r="P33" s="278"/>
      <c r="Q33" s="278">
        <v>792</v>
      </c>
      <c r="R33" s="278">
        <v>156</v>
      </c>
      <c r="S33" s="278">
        <v>946</v>
      </c>
      <c r="T33" s="291">
        <f t="shared" si="0"/>
        <v>1128.43</v>
      </c>
      <c r="U33" s="292">
        <f t="shared" si="1"/>
        <v>2523</v>
      </c>
      <c r="V33" s="292">
        <f t="shared" si="4"/>
        <v>0.44725723345223944</v>
      </c>
      <c r="W33" s="281"/>
      <c r="X33" s="293"/>
      <c r="Y33" s="266"/>
      <c r="Z33" s="293"/>
      <c r="AA33" s="276"/>
      <c r="AB33" s="360"/>
      <c r="AC33" s="293"/>
      <c r="AD33" s="293"/>
      <c r="AE33" s="293"/>
      <c r="AF33" s="293"/>
      <c r="AG33" s="293"/>
      <c r="AH33" s="293"/>
      <c r="AI33" s="293"/>
      <c r="AJ33" s="518"/>
      <c r="AK33" s="358">
        <f t="shared" si="3"/>
        <v>0</v>
      </c>
      <c r="AL33" s="285"/>
      <c r="AM33" s="285"/>
      <c r="AN33" s="285"/>
      <c r="AO33" s="285"/>
      <c r="AP33" s="285"/>
      <c r="AQ33" s="285"/>
      <c r="AR33" s="285"/>
      <c r="AS33" s="287">
        <f t="shared" si="2"/>
        <v>1128.43</v>
      </c>
      <c r="AT33" s="295">
        <f t="shared" si="7"/>
        <v>0</v>
      </c>
      <c r="AU33" s="370">
        <f t="shared" si="5"/>
        <v>50245.16</v>
      </c>
      <c r="AV33" s="244">
        <f t="shared" ref="AV33:AV41" si="8">SUM(AV32)</f>
        <v>0</v>
      </c>
    </row>
    <row r="34" spans="2:48" ht="14.25">
      <c r="B34" s="694">
        <v>43914</v>
      </c>
      <c r="C34" s="302">
        <v>0.02</v>
      </c>
      <c r="D34" s="290">
        <f t="shared" si="6"/>
        <v>49116.73</v>
      </c>
      <c r="E34" s="275"/>
      <c r="F34" s="275"/>
      <c r="G34" s="697"/>
      <c r="H34" s="277"/>
      <c r="I34" s="293">
        <v>87.45</v>
      </c>
      <c r="J34" s="277"/>
      <c r="K34" s="276">
        <v>249.54</v>
      </c>
      <c r="L34" s="276">
        <v>229.68</v>
      </c>
      <c r="M34" s="757">
        <v>401.85</v>
      </c>
      <c r="N34" s="387"/>
      <c r="O34" s="278">
        <v>323</v>
      </c>
      <c r="P34" s="278"/>
      <c r="Q34" s="278">
        <v>673</v>
      </c>
      <c r="R34" s="278">
        <v>655</v>
      </c>
      <c r="S34" s="278">
        <v>935</v>
      </c>
      <c r="T34" s="291">
        <f t="shared" si="0"/>
        <v>968.5200000000001</v>
      </c>
      <c r="U34" s="292">
        <f t="shared" si="1"/>
        <v>2586</v>
      </c>
      <c r="V34" s="292">
        <f t="shared" si="4"/>
        <v>0.37452436194895594</v>
      </c>
      <c r="W34" s="281"/>
      <c r="X34" s="293">
        <v>36.229999999999997</v>
      </c>
      <c r="Y34" s="266"/>
      <c r="Z34" s="293">
        <v>27.69</v>
      </c>
      <c r="AA34" s="276">
        <v>43.1</v>
      </c>
      <c r="AB34" s="360"/>
      <c r="AC34" s="293"/>
      <c r="AD34" s="293"/>
      <c r="AE34" s="293"/>
      <c r="AF34" s="293"/>
      <c r="AG34" s="293"/>
      <c r="AH34" s="293"/>
      <c r="AI34" s="293">
        <v>142</v>
      </c>
      <c r="AJ34" s="518"/>
      <c r="AK34" s="358">
        <f t="shared" si="3"/>
        <v>249.02</v>
      </c>
      <c r="AL34" s="285"/>
      <c r="AM34" s="285"/>
      <c r="AN34" s="285"/>
      <c r="AO34" s="285"/>
      <c r="AP34" s="285"/>
      <c r="AQ34" s="285"/>
      <c r="AR34" s="285"/>
      <c r="AS34" s="287">
        <f t="shared" si="2"/>
        <v>1217.5400000000002</v>
      </c>
      <c r="AT34" s="295">
        <f t="shared" si="7"/>
        <v>0</v>
      </c>
      <c r="AU34" s="370">
        <f t="shared" si="5"/>
        <v>49116.73</v>
      </c>
      <c r="AV34" s="244">
        <f t="shared" si="8"/>
        <v>0</v>
      </c>
    </row>
    <row r="35" spans="2:48" ht="14.25">
      <c r="B35" s="694">
        <v>43915</v>
      </c>
      <c r="C35" s="302">
        <v>0.02</v>
      </c>
      <c r="D35" s="290">
        <f t="shared" si="6"/>
        <v>47899.19</v>
      </c>
      <c r="E35" s="297"/>
      <c r="F35" s="275"/>
      <c r="G35" s="693"/>
      <c r="H35" s="277"/>
      <c r="I35" s="293">
        <v>666.23</v>
      </c>
      <c r="J35" s="277"/>
      <c r="K35" s="276"/>
      <c r="L35" s="276">
        <v>296.45</v>
      </c>
      <c r="M35" s="757">
        <v>90.3</v>
      </c>
      <c r="N35" s="387"/>
      <c r="O35" s="278">
        <v>1433</v>
      </c>
      <c r="P35" s="278"/>
      <c r="Q35" s="278"/>
      <c r="R35" s="278">
        <v>765</v>
      </c>
      <c r="S35" s="278">
        <v>136</v>
      </c>
      <c r="T35" s="291">
        <f t="shared" si="0"/>
        <v>1052.98</v>
      </c>
      <c r="U35" s="292">
        <f t="shared" si="1"/>
        <v>2334</v>
      </c>
      <c r="V35" s="292">
        <f t="shared" si="4"/>
        <v>0.4511482433590403</v>
      </c>
      <c r="W35" s="281"/>
      <c r="X35" s="293"/>
      <c r="Y35" s="266"/>
      <c r="Z35" s="293"/>
      <c r="AA35" s="276">
        <v>14.1</v>
      </c>
      <c r="AB35" s="360"/>
      <c r="AC35" s="293"/>
      <c r="AD35" s="293"/>
      <c r="AE35" s="293"/>
      <c r="AF35" s="293"/>
      <c r="AG35" s="293"/>
      <c r="AH35" s="293"/>
      <c r="AI35" s="293"/>
      <c r="AJ35" s="518"/>
      <c r="AK35" s="358">
        <f t="shared" si="3"/>
        <v>14.1</v>
      </c>
      <c r="AL35" s="285"/>
      <c r="AM35" s="285"/>
      <c r="AN35" s="285"/>
      <c r="AO35" s="285"/>
      <c r="AP35" s="285"/>
      <c r="AQ35" s="285"/>
      <c r="AR35" s="285"/>
      <c r="AS35" s="287">
        <f t="shared" si="2"/>
        <v>1067.08</v>
      </c>
      <c r="AT35" s="295">
        <f t="shared" si="7"/>
        <v>0</v>
      </c>
      <c r="AU35" s="370">
        <f t="shared" si="5"/>
        <v>47899.19</v>
      </c>
      <c r="AV35" s="244">
        <f t="shared" si="8"/>
        <v>0</v>
      </c>
    </row>
    <row r="36" spans="2:48" ht="14.25">
      <c r="B36" s="694">
        <v>43916</v>
      </c>
      <c r="C36" s="302">
        <v>0.02</v>
      </c>
      <c r="D36" s="290">
        <f t="shared" si="6"/>
        <v>46832.11</v>
      </c>
      <c r="E36" s="297"/>
      <c r="F36" s="275"/>
      <c r="G36" s="693"/>
      <c r="H36" s="277"/>
      <c r="I36" s="293"/>
      <c r="J36" s="277"/>
      <c r="K36" s="276">
        <v>377.4</v>
      </c>
      <c r="L36" s="276">
        <v>329.29</v>
      </c>
      <c r="M36" s="757">
        <v>355.39</v>
      </c>
      <c r="N36" s="387"/>
      <c r="O36" s="278"/>
      <c r="P36" s="278"/>
      <c r="Q36" s="278">
        <v>866</v>
      </c>
      <c r="R36" s="278">
        <v>696</v>
      </c>
      <c r="S36" s="278">
        <v>786</v>
      </c>
      <c r="T36" s="291">
        <f t="shared" si="0"/>
        <v>1062.08</v>
      </c>
      <c r="U36" s="292">
        <f t="shared" si="1"/>
        <v>2348</v>
      </c>
      <c r="V36" s="292">
        <f t="shared" si="4"/>
        <v>0.45233390119250422</v>
      </c>
      <c r="W36" s="281"/>
      <c r="X36" s="293">
        <v>34.57</v>
      </c>
      <c r="Y36" s="266"/>
      <c r="Z36" s="293"/>
      <c r="AA36" s="276"/>
      <c r="AB36" s="360"/>
      <c r="AC36" s="293"/>
      <c r="AD36" s="293"/>
      <c r="AE36" s="293"/>
      <c r="AF36" s="293"/>
      <c r="AG36" s="293"/>
      <c r="AH36" s="293"/>
      <c r="AI36" s="293"/>
      <c r="AJ36" s="518"/>
      <c r="AK36" s="358">
        <f t="shared" si="3"/>
        <v>34.57</v>
      </c>
      <c r="AL36" s="285"/>
      <c r="AM36" s="285"/>
      <c r="AN36" s="285"/>
      <c r="AO36" s="285"/>
      <c r="AP36" s="285"/>
      <c r="AQ36" s="285"/>
      <c r="AR36" s="285"/>
      <c r="AS36" s="287">
        <f t="shared" si="2"/>
        <v>1096.6499999999999</v>
      </c>
      <c r="AT36" s="295">
        <f t="shared" si="7"/>
        <v>0</v>
      </c>
      <c r="AU36" s="370">
        <f t="shared" si="5"/>
        <v>46832.11</v>
      </c>
      <c r="AV36" s="244">
        <f t="shared" si="8"/>
        <v>0</v>
      </c>
    </row>
    <row r="37" spans="2:48" ht="14.25">
      <c r="B37" s="694">
        <v>43917</v>
      </c>
      <c r="C37" s="302"/>
      <c r="D37" s="290">
        <f t="shared" si="6"/>
        <v>45735.46</v>
      </c>
      <c r="E37" s="297"/>
      <c r="F37" s="275"/>
      <c r="G37" s="693"/>
      <c r="H37" s="277"/>
      <c r="I37" s="293">
        <v>302.02999999999997</v>
      </c>
      <c r="J37" s="277"/>
      <c r="K37" s="276">
        <v>320.66000000000003</v>
      </c>
      <c r="L37" s="276">
        <v>335.52</v>
      </c>
      <c r="M37" s="757"/>
      <c r="N37" s="387"/>
      <c r="O37" s="278">
        <v>717</v>
      </c>
      <c r="P37" s="278"/>
      <c r="Q37" s="278">
        <v>719</v>
      </c>
      <c r="R37" s="278">
        <v>769</v>
      </c>
      <c r="S37" s="278"/>
      <c r="T37" s="291">
        <f t="shared" si="0"/>
        <v>958.21</v>
      </c>
      <c r="U37" s="292">
        <f t="shared" si="1"/>
        <v>2205</v>
      </c>
      <c r="V37" s="292">
        <f t="shared" si="4"/>
        <v>0.43456235827664402</v>
      </c>
      <c r="W37" s="281"/>
      <c r="X37" s="293"/>
      <c r="Y37" s="266">
        <v>58.18</v>
      </c>
      <c r="Z37" s="293"/>
      <c r="AA37" s="276">
        <v>85.94</v>
      </c>
      <c r="AB37" s="360"/>
      <c r="AC37" s="293"/>
      <c r="AD37" s="293"/>
      <c r="AE37" s="293"/>
      <c r="AF37" s="293"/>
      <c r="AG37" s="293"/>
      <c r="AH37" s="594"/>
      <c r="AI37" s="293"/>
      <c r="AJ37" s="518"/>
      <c r="AK37" s="358">
        <f t="shared" si="3"/>
        <v>144.12</v>
      </c>
      <c r="AL37" s="285"/>
      <c r="AM37" s="285"/>
      <c r="AN37" s="285"/>
      <c r="AO37" s="285"/>
      <c r="AP37" s="285"/>
      <c r="AQ37" s="285"/>
      <c r="AR37" s="285"/>
      <c r="AS37" s="287">
        <f t="shared" si="2"/>
        <v>1102.33</v>
      </c>
      <c r="AT37" s="295">
        <f t="shared" si="7"/>
        <v>0</v>
      </c>
      <c r="AU37" s="370">
        <f t="shared" si="5"/>
        <v>45735.46</v>
      </c>
      <c r="AV37" s="244">
        <f t="shared" si="8"/>
        <v>0</v>
      </c>
    </row>
    <row r="38" spans="2:48" ht="14.25">
      <c r="B38" s="694">
        <v>43918</v>
      </c>
      <c r="C38" s="302"/>
      <c r="D38" s="290">
        <f t="shared" si="6"/>
        <v>44633.13</v>
      </c>
      <c r="E38" s="297"/>
      <c r="F38" s="275"/>
      <c r="G38" s="693"/>
      <c r="H38" s="277"/>
      <c r="I38" s="293">
        <v>232.51</v>
      </c>
      <c r="J38" s="277"/>
      <c r="K38" s="276">
        <v>299.91000000000003</v>
      </c>
      <c r="L38" s="276"/>
      <c r="M38" s="757">
        <v>278.83999999999997</v>
      </c>
      <c r="N38" s="387"/>
      <c r="O38" s="278">
        <v>578</v>
      </c>
      <c r="P38" s="278"/>
      <c r="Q38" s="278">
        <v>845</v>
      </c>
      <c r="R38" s="278"/>
      <c r="S38" s="278">
        <v>568</v>
      </c>
      <c r="T38" s="291">
        <f t="shared" si="0"/>
        <v>811.26</v>
      </c>
      <c r="U38" s="292">
        <f t="shared" si="1"/>
        <v>1991</v>
      </c>
      <c r="V38" s="292">
        <f t="shared" si="4"/>
        <v>0.40746358613761929</v>
      </c>
      <c r="W38" s="281"/>
      <c r="X38" s="293"/>
      <c r="Y38" s="266"/>
      <c r="Z38" s="293"/>
      <c r="AA38" s="276">
        <v>7.2</v>
      </c>
      <c r="AB38" s="360"/>
      <c r="AC38" s="293"/>
      <c r="AD38" s="293"/>
      <c r="AE38" s="293"/>
      <c r="AF38" s="293"/>
      <c r="AG38" s="293"/>
      <c r="AH38" s="594"/>
      <c r="AI38" s="293">
        <v>71</v>
      </c>
      <c r="AJ38" s="518"/>
      <c r="AK38" s="358">
        <f t="shared" si="3"/>
        <v>78.2</v>
      </c>
      <c r="AL38" s="285"/>
      <c r="AM38" s="285"/>
      <c r="AN38" s="285"/>
      <c r="AO38" s="285"/>
      <c r="AP38" s="285"/>
      <c r="AQ38" s="285"/>
      <c r="AR38" s="285"/>
      <c r="AS38" s="287">
        <f t="shared" si="2"/>
        <v>889.46</v>
      </c>
      <c r="AT38" s="295">
        <f t="shared" si="7"/>
        <v>0</v>
      </c>
      <c r="AU38" s="370">
        <f t="shared" si="5"/>
        <v>44633.13</v>
      </c>
      <c r="AV38" s="244">
        <f t="shared" si="8"/>
        <v>0</v>
      </c>
    </row>
    <row r="39" spans="2:48" ht="14.25">
      <c r="B39" s="694">
        <v>43919</v>
      </c>
      <c r="C39" s="302"/>
      <c r="D39" s="290">
        <f t="shared" si="6"/>
        <v>43743.67</v>
      </c>
      <c r="E39" s="297"/>
      <c r="F39" s="275"/>
      <c r="G39" s="693"/>
      <c r="H39" s="277"/>
      <c r="I39" s="293">
        <v>185.59</v>
      </c>
      <c r="J39" s="303"/>
      <c r="K39" s="276"/>
      <c r="L39" s="276">
        <v>294.29000000000002</v>
      </c>
      <c r="M39" s="757">
        <v>359.65</v>
      </c>
      <c r="N39" s="387"/>
      <c r="O39" s="278">
        <v>563</v>
      </c>
      <c r="P39" s="304"/>
      <c r="Q39" s="278"/>
      <c r="R39" s="278">
        <v>660</v>
      </c>
      <c r="S39" s="278">
        <v>765</v>
      </c>
      <c r="T39" s="291">
        <f t="shared" si="0"/>
        <v>839.53</v>
      </c>
      <c r="U39" s="292">
        <f t="shared" si="1"/>
        <v>1988</v>
      </c>
      <c r="V39" s="292">
        <f t="shared" si="4"/>
        <v>0.4222987927565392</v>
      </c>
      <c r="W39" s="281"/>
      <c r="X39" s="293"/>
      <c r="Y39" s="266"/>
      <c r="Z39" s="293"/>
      <c r="AA39" s="276"/>
      <c r="AB39" s="360"/>
      <c r="AC39" s="293"/>
      <c r="AD39" s="293"/>
      <c r="AE39" s="293"/>
      <c r="AF39" s="293"/>
      <c r="AG39" s="293"/>
      <c r="AH39" s="594"/>
      <c r="AI39" s="293"/>
      <c r="AJ39" s="518"/>
      <c r="AK39" s="358">
        <f t="shared" si="3"/>
        <v>0</v>
      </c>
      <c r="AL39" s="285"/>
      <c r="AM39" s="285"/>
      <c r="AN39" s="285"/>
      <c r="AO39" s="285"/>
      <c r="AP39" s="285"/>
      <c r="AQ39" s="285"/>
      <c r="AR39" s="285"/>
      <c r="AS39" s="287">
        <f t="shared" si="2"/>
        <v>839.53</v>
      </c>
      <c r="AT39" s="295">
        <f t="shared" si="7"/>
        <v>0</v>
      </c>
      <c r="AU39" s="370">
        <f t="shared" si="5"/>
        <v>43743.67</v>
      </c>
      <c r="AV39" s="244">
        <f t="shared" si="8"/>
        <v>0</v>
      </c>
    </row>
    <row r="40" spans="2:48" ht="14.25">
      <c r="B40" s="694">
        <v>43920</v>
      </c>
      <c r="C40" s="302"/>
      <c r="D40" s="290">
        <f t="shared" si="6"/>
        <v>42904.14</v>
      </c>
      <c r="E40" s="297"/>
      <c r="F40" s="275"/>
      <c r="G40" s="693"/>
      <c r="H40" s="277"/>
      <c r="I40" s="293">
        <v>336.71</v>
      </c>
      <c r="J40" s="277"/>
      <c r="K40" s="276">
        <v>352.42</v>
      </c>
      <c r="L40" s="276">
        <v>246.23</v>
      </c>
      <c r="M40" s="757"/>
      <c r="N40" s="387"/>
      <c r="O40" s="278">
        <v>671</v>
      </c>
      <c r="P40" s="278"/>
      <c r="Q40" s="278">
        <v>774</v>
      </c>
      <c r="R40" s="278">
        <v>611</v>
      </c>
      <c r="S40" s="278"/>
      <c r="T40" s="291">
        <f t="shared" si="0"/>
        <v>935.36</v>
      </c>
      <c r="U40" s="292">
        <f t="shared" si="1"/>
        <v>2056</v>
      </c>
      <c r="V40" s="292">
        <f t="shared" si="4"/>
        <v>0.45494163424124512</v>
      </c>
      <c r="W40" s="281"/>
      <c r="X40" s="293"/>
      <c r="Y40" s="266"/>
      <c r="Z40" s="293"/>
      <c r="AA40" s="276"/>
      <c r="AB40" s="360"/>
      <c r="AC40" s="293"/>
      <c r="AD40" s="293"/>
      <c r="AE40" s="293"/>
      <c r="AF40" s="293"/>
      <c r="AG40" s="293"/>
      <c r="AH40" s="594"/>
      <c r="AI40" s="293"/>
      <c r="AJ40" s="518"/>
      <c r="AK40" s="358">
        <f t="shared" si="3"/>
        <v>0</v>
      </c>
      <c r="AL40" s="285"/>
      <c r="AM40" s="285"/>
      <c r="AN40" s="285"/>
      <c r="AO40" s="285"/>
      <c r="AP40" s="285"/>
      <c r="AQ40" s="285"/>
      <c r="AR40" s="285"/>
      <c r="AS40" s="287">
        <f t="shared" si="2"/>
        <v>935.36</v>
      </c>
      <c r="AT40" s="295">
        <f t="shared" si="7"/>
        <v>0</v>
      </c>
      <c r="AU40" s="370">
        <f t="shared" si="5"/>
        <v>42904.14</v>
      </c>
      <c r="AV40" s="244">
        <f t="shared" si="8"/>
        <v>0</v>
      </c>
    </row>
    <row r="41" spans="2:48" ht="14.25">
      <c r="B41" s="694">
        <v>43921</v>
      </c>
      <c r="C41" s="302"/>
      <c r="D41" s="290">
        <f t="shared" si="6"/>
        <v>41968.78</v>
      </c>
      <c r="E41" s="297"/>
      <c r="F41" s="275"/>
      <c r="G41" s="693"/>
      <c r="H41" s="277"/>
      <c r="I41" s="293">
        <v>230.1</v>
      </c>
      <c r="J41" s="276"/>
      <c r="K41" s="276"/>
      <c r="L41" s="276">
        <v>338.69</v>
      </c>
      <c r="M41" s="757">
        <v>351.12</v>
      </c>
      <c r="N41" s="387"/>
      <c r="O41" s="278">
        <v>647</v>
      </c>
      <c r="P41" s="278"/>
      <c r="Q41" s="278"/>
      <c r="R41" s="278">
        <v>810</v>
      </c>
      <c r="S41" s="278">
        <v>786</v>
      </c>
      <c r="T41" s="291">
        <f t="shared" si="0"/>
        <v>919.91</v>
      </c>
      <c r="U41" s="292">
        <f t="shared" si="1"/>
        <v>2243</v>
      </c>
      <c r="V41" s="292">
        <f t="shared" si="4"/>
        <v>0.41012483281319662</v>
      </c>
      <c r="W41" s="281"/>
      <c r="X41" s="293"/>
      <c r="Y41" s="266"/>
      <c r="Z41" s="293"/>
      <c r="AA41" s="276"/>
      <c r="AB41" s="360"/>
      <c r="AC41" s="293"/>
      <c r="AD41" s="293"/>
      <c r="AE41" s="293"/>
      <c r="AF41" s="293"/>
      <c r="AG41" s="293"/>
      <c r="AH41" s="594"/>
      <c r="AI41" s="293"/>
      <c r="AJ41" s="518"/>
      <c r="AK41" s="358">
        <f t="shared" si="3"/>
        <v>0</v>
      </c>
      <c r="AL41" s="285"/>
      <c r="AM41" s="285"/>
      <c r="AN41" s="285"/>
      <c r="AO41" s="285"/>
      <c r="AP41" s="285"/>
      <c r="AQ41" s="285"/>
      <c r="AR41" s="285"/>
      <c r="AS41" s="287">
        <f t="shared" si="2"/>
        <v>919.91</v>
      </c>
      <c r="AT41" s="295">
        <f t="shared" si="7"/>
        <v>0</v>
      </c>
      <c r="AU41" s="370">
        <f t="shared" si="5"/>
        <v>41968.78</v>
      </c>
      <c r="AV41" s="244">
        <f t="shared" si="8"/>
        <v>0</v>
      </c>
    </row>
    <row r="42" spans="2:48" ht="14.25">
      <c r="B42" s="694">
        <v>43922</v>
      </c>
      <c r="C42" s="683"/>
      <c r="D42" s="290">
        <f t="shared" si="6"/>
        <v>41048.869999999995</v>
      </c>
      <c r="E42" s="274"/>
      <c r="F42" s="275"/>
      <c r="G42" s="693"/>
      <c r="H42" s="277"/>
      <c r="I42" s="276"/>
      <c r="J42" s="276"/>
      <c r="K42" s="276"/>
      <c r="L42" s="276"/>
      <c r="M42" s="757"/>
      <c r="N42" s="387"/>
      <c r="O42" s="278"/>
      <c r="P42" s="278"/>
      <c r="Q42" s="278"/>
      <c r="R42" s="278"/>
      <c r="S42" s="278"/>
      <c r="T42" s="291">
        <f t="shared" si="0"/>
        <v>0</v>
      </c>
      <c r="U42" s="292">
        <f t="shared" si="1"/>
        <v>0</v>
      </c>
      <c r="V42" s="305"/>
      <c r="W42" s="281"/>
      <c r="X42" s="293"/>
      <c r="Y42" s="266"/>
      <c r="Z42" s="293"/>
      <c r="AA42" s="276"/>
      <c r="AB42" s="360"/>
      <c r="AC42" s="293"/>
      <c r="AD42" s="280"/>
      <c r="AE42" s="293"/>
      <c r="AF42" s="293"/>
      <c r="AG42" s="293"/>
      <c r="AH42" s="594"/>
      <c r="AI42" s="293"/>
      <c r="AJ42" s="518"/>
      <c r="AK42" s="358">
        <f t="shared" si="3"/>
        <v>0</v>
      </c>
      <c r="AL42" s="306"/>
      <c r="AM42" s="306"/>
      <c r="AN42" s="306"/>
      <c r="AO42" s="306"/>
      <c r="AP42" s="306"/>
      <c r="AQ42" s="306"/>
      <c r="AR42" s="306"/>
      <c r="AS42" s="287">
        <f t="shared" si="2"/>
        <v>0</v>
      </c>
      <c r="AT42" s="295">
        <f t="shared" si="7"/>
        <v>0</v>
      </c>
      <c r="AU42" s="370">
        <f t="shared" si="5"/>
        <v>41048.869999999995</v>
      </c>
    </row>
    <row r="43" spans="2:48" ht="14.25">
      <c r="B43" s="699" t="s">
        <v>25</v>
      </c>
      <c r="C43" s="632">
        <f>AVERAGE(C11:C42)</f>
        <v>0.30993913043478244</v>
      </c>
      <c r="D43" s="307">
        <f t="shared" si="6"/>
        <v>41048.869999999995</v>
      </c>
      <c r="E43" s="274"/>
      <c r="F43" s="274"/>
      <c r="G43" s="693"/>
      <c r="H43" s="682"/>
      <c r="I43" s="276"/>
      <c r="J43" s="276"/>
      <c r="K43" s="276"/>
      <c r="L43" s="276"/>
      <c r="M43" s="757"/>
      <c r="N43" s="387"/>
      <c r="O43" s="278"/>
      <c r="P43" s="278"/>
      <c r="Q43" s="278"/>
      <c r="R43" s="278"/>
      <c r="S43" s="278"/>
      <c r="T43" s="291">
        <f t="shared" si="0"/>
        <v>0</v>
      </c>
      <c r="U43" s="292">
        <f t="shared" si="1"/>
        <v>0</v>
      </c>
      <c r="V43" s="305"/>
      <c r="W43" s="281"/>
      <c r="X43" s="293"/>
      <c r="Y43" s="276"/>
      <c r="Z43" s="280"/>
      <c r="AA43" s="280"/>
      <c r="AB43" s="360"/>
      <c r="AC43" s="280"/>
      <c r="AD43" s="311"/>
      <c r="AE43" s="311"/>
      <c r="AF43" s="293"/>
      <c r="AG43" s="293"/>
      <c r="AH43" s="594"/>
      <c r="AI43" s="280"/>
      <c r="AJ43" s="518"/>
      <c r="AK43" s="358">
        <f t="shared" si="3"/>
        <v>0</v>
      </c>
      <c r="AL43" s="308"/>
      <c r="AM43" s="308"/>
      <c r="AN43" s="308"/>
      <c r="AO43" s="308"/>
      <c r="AP43" s="308"/>
      <c r="AQ43" s="308"/>
      <c r="AR43" s="308"/>
      <c r="AS43" s="287">
        <f t="shared" si="2"/>
        <v>0</v>
      </c>
      <c r="AT43" s="295">
        <f t="shared" si="7"/>
        <v>0</v>
      </c>
      <c r="AU43" s="370">
        <f t="shared" si="5"/>
        <v>41048.869999999995</v>
      </c>
    </row>
    <row r="44" spans="2:48" ht="15" thickBot="1">
      <c r="B44" s="700"/>
      <c r="C44" s="701"/>
      <c r="D44" s="402"/>
      <c r="E44" s="403"/>
      <c r="F44" s="403"/>
      <c r="G44" s="702"/>
      <c r="H44" s="688"/>
      <c r="I44" s="262"/>
      <c r="J44" s="262"/>
      <c r="K44" s="262"/>
      <c r="L44" s="262"/>
      <c r="M44" s="389"/>
      <c r="N44" s="386"/>
      <c r="O44" s="263"/>
      <c r="P44" s="278"/>
      <c r="Q44" s="278"/>
      <c r="R44" s="263"/>
      <c r="S44" s="263"/>
      <c r="T44" s="291">
        <f t="shared" si="0"/>
        <v>0</v>
      </c>
      <c r="U44" s="309"/>
      <c r="V44" s="309"/>
      <c r="W44" s="310"/>
      <c r="X44" s="251"/>
      <c r="Y44" s="311"/>
      <c r="Z44" s="311"/>
      <c r="AA44" s="311"/>
      <c r="AB44" s="312"/>
      <c r="AC44" s="311"/>
      <c r="AD44" s="311"/>
      <c r="AE44" s="311"/>
      <c r="AF44" s="311"/>
      <c r="AG44" s="311"/>
      <c r="AH44" s="313"/>
      <c r="AI44" s="518"/>
      <c r="AJ44" s="518"/>
      <c r="AK44" s="358">
        <f t="shared" si="3"/>
        <v>0</v>
      </c>
      <c r="AL44" s="404"/>
      <c r="AM44" s="404"/>
      <c r="AN44" s="404"/>
      <c r="AO44" s="404"/>
      <c r="AP44" s="404"/>
      <c r="AQ44" s="404"/>
      <c r="AR44" s="404"/>
      <c r="AS44" s="405">
        <f>T44+AK44</f>
        <v>0</v>
      </c>
      <c r="AT44" s="406">
        <f t="shared" si="7"/>
        <v>0</v>
      </c>
      <c r="AU44" s="407"/>
    </row>
    <row r="45" spans="2:48" s="316" customFormat="1" ht="13.5" thickBot="1">
      <c r="B45" s="408"/>
      <c r="C45" s="409"/>
      <c r="D45" s="410"/>
      <c r="E45" s="411">
        <f>SUM(E11:E44)</f>
        <v>63000</v>
      </c>
      <c r="F45" s="411">
        <f>SUM(F11:F42)</f>
        <v>63000</v>
      </c>
      <c r="G45" s="413">
        <f t="shared" ref="G45" si="9">SUM(G11:G44)</f>
        <v>0</v>
      </c>
      <c r="H45" s="689">
        <f>SUM(H11:H44)</f>
        <v>5930.6200000000008</v>
      </c>
      <c r="I45" s="535">
        <f t="shared" ref="I45:P45" si="10">SUM(I11:I44)</f>
        <v>10149.550000000001</v>
      </c>
      <c r="J45" s="535">
        <f t="shared" si="10"/>
        <v>2000.25</v>
      </c>
      <c r="K45" s="535">
        <f t="shared" si="10"/>
        <v>10834.199999999999</v>
      </c>
      <c r="L45" s="535">
        <f>SUM(L11:L44)</f>
        <v>10665.120000000004</v>
      </c>
      <c r="M45" s="535">
        <f t="shared" si="10"/>
        <v>11030.839999999998</v>
      </c>
      <c r="N45" s="535">
        <f t="shared" si="10"/>
        <v>15347</v>
      </c>
      <c r="O45" s="536">
        <f t="shared" si="10"/>
        <v>24377</v>
      </c>
      <c r="P45" s="411">
        <f t="shared" si="10"/>
        <v>0</v>
      </c>
      <c r="Q45" s="412">
        <f>SUM(Q11:Q43)</f>
        <v>27452</v>
      </c>
      <c r="R45" s="411">
        <f>SUM(R11:R44)</f>
        <v>24503</v>
      </c>
      <c r="S45" s="413">
        <f>SUM(S11:S44)</f>
        <v>27648</v>
      </c>
      <c r="T45" s="648">
        <f t="shared" si="0"/>
        <v>50610.58</v>
      </c>
      <c r="U45" s="401">
        <f>SUM(N45:S45)</f>
        <v>119327</v>
      </c>
      <c r="V45" s="315">
        <f>SUM(V11:V42)</f>
        <v>13.220429158000496</v>
      </c>
      <c r="W45" s="314">
        <f>SUM(W9:W44)</f>
        <v>0</v>
      </c>
      <c r="X45" s="314">
        <f t="shared" ref="X45:AK45" si="11">SUM(X9:X44)</f>
        <v>422.93</v>
      </c>
      <c r="Y45" s="314">
        <f t="shared" si="11"/>
        <v>370.61</v>
      </c>
      <c r="Z45" s="314">
        <f t="shared" si="11"/>
        <v>82.070000000000007</v>
      </c>
      <c r="AA45" s="314">
        <f t="shared" si="11"/>
        <v>784.07999999999993</v>
      </c>
      <c r="AB45" s="314">
        <f t="shared" si="11"/>
        <v>0</v>
      </c>
      <c r="AC45" s="314">
        <f t="shared" si="11"/>
        <v>70.8</v>
      </c>
      <c r="AD45" s="314">
        <f>SUM(AD10:AD44)</f>
        <v>0</v>
      </c>
      <c r="AE45" s="314">
        <f>SUM(AE10:AE44)</f>
        <v>482.26</v>
      </c>
      <c r="AF45" s="314">
        <f t="shared" si="11"/>
        <v>218.53</v>
      </c>
      <c r="AG45" s="314">
        <f t="shared" si="11"/>
        <v>98</v>
      </c>
      <c r="AH45" s="314">
        <f t="shared" si="11"/>
        <v>0</v>
      </c>
      <c r="AI45" s="595">
        <f>SUM(AI9:AI43)</f>
        <v>760</v>
      </c>
      <c r="AJ45" s="595">
        <f>SUM(AJ9:AJ39)</f>
        <v>354</v>
      </c>
      <c r="AK45" s="314">
        <f t="shared" si="11"/>
        <v>3643.28</v>
      </c>
      <c r="AL45" s="314"/>
      <c r="AM45" s="314"/>
      <c r="AN45" s="314"/>
      <c r="AO45" s="314"/>
      <c r="AP45" s="314"/>
      <c r="AQ45" s="314"/>
      <c r="AR45" s="414"/>
      <c r="AS45" s="415">
        <f>SUM(AS11:AS43)</f>
        <v>54253.860000000015</v>
      </c>
      <c r="AT45" s="416">
        <f>SUM(AT11:AT44)</f>
        <v>0</v>
      </c>
      <c r="AU45" s="417"/>
    </row>
    <row r="46" spans="2:48" ht="14.25" thickBot="1">
      <c r="B46" s="563" t="s">
        <v>68</v>
      </c>
      <c r="X46" s="255"/>
      <c r="Y46" s="255"/>
      <c r="Z46" s="255"/>
      <c r="AA46" s="255"/>
      <c r="AB46" s="255"/>
      <c r="AS46" s="245"/>
      <c r="AT46" s="317"/>
      <c r="AU46" s="244"/>
    </row>
    <row r="47" spans="2:48" ht="14.25" thickBot="1">
      <c r="B47" s="428"/>
      <c r="G47" s="318"/>
      <c r="S47" s="245"/>
      <c r="T47" s="245"/>
      <c r="U47" s="420">
        <f>T45*2315</f>
        <v>117163492.7</v>
      </c>
      <c r="V47" s="421" t="s">
        <v>245</v>
      </c>
      <c r="AS47" s="747">
        <f>AS45*2143</f>
        <v>116266021.98000003</v>
      </c>
      <c r="AT47" s="746" t="s">
        <v>245</v>
      </c>
      <c r="AU47" s="244"/>
    </row>
    <row r="48" spans="2:48" ht="14.25" thickBot="1">
      <c r="B48" s="429" t="s">
        <v>248</v>
      </c>
      <c r="C48" s="319"/>
      <c r="U48" s="420">
        <f>U47/2289</f>
        <v>51185.448973350809</v>
      </c>
      <c r="V48" s="421" t="s">
        <v>246</v>
      </c>
      <c r="X48" s="255"/>
      <c r="Y48" s="255"/>
      <c r="Z48" s="255"/>
      <c r="AA48" s="255"/>
      <c r="AB48" s="255"/>
      <c r="AS48" s="420">
        <f>AS47/2289</f>
        <v>50793.36914809962</v>
      </c>
      <c r="AT48" s="748" t="s">
        <v>246</v>
      </c>
      <c r="AU48" s="317"/>
    </row>
    <row r="49" spans="3:47" ht="14.25" thickBot="1">
      <c r="H49" s="684"/>
      <c r="V49" s="320"/>
      <c r="X49" s="255"/>
      <c r="Y49" s="255"/>
      <c r="Z49" s="255"/>
      <c r="AA49" s="255"/>
      <c r="AB49" s="255"/>
      <c r="AC49" s="248"/>
      <c r="AS49" s="320"/>
      <c r="AU49" s="317"/>
    </row>
    <row r="50" spans="3:47" ht="13.5" customHeight="1" thickBot="1">
      <c r="C50" s="806" t="s">
        <v>242</v>
      </c>
      <c r="D50" s="807"/>
      <c r="E50" s="807"/>
      <c r="F50" s="807"/>
      <c r="G50" s="808"/>
      <c r="H50" s="718"/>
      <c r="I50" s="809" t="s">
        <v>214</v>
      </c>
      <c r="J50" s="810"/>
      <c r="K50" s="810"/>
      <c r="L50" s="810"/>
      <c r="M50" s="811"/>
      <c r="N50" s="730"/>
      <c r="O50" s="827" t="s">
        <v>312</v>
      </c>
      <c r="P50" s="828"/>
      <c r="Q50" s="828"/>
      <c r="R50" s="828"/>
      <c r="S50" s="829"/>
      <c r="T50" s="824" t="s">
        <v>227</v>
      </c>
      <c r="U50" s="825"/>
      <c r="V50" s="825"/>
      <c r="W50" s="825"/>
      <c r="X50" s="825"/>
      <c r="Y50" s="826"/>
    </row>
    <row r="51" spans="3:47" ht="25.5" customHeight="1" thickBot="1">
      <c r="C51" s="709" t="s">
        <v>99</v>
      </c>
      <c r="D51" s="562" t="s">
        <v>198</v>
      </c>
      <c r="E51" s="710" t="s">
        <v>199</v>
      </c>
      <c r="F51" s="710" t="s">
        <v>213</v>
      </c>
      <c r="G51" s="711" t="s">
        <v>311</v>
      </c>
      <c r="H51" s="719"/>
      <c r="I51" s="716" t="s">
        <v>99</v>
      </c>
      <c r="J51" s="562" t="s">
        <v>198</v>
      </c>
      <c r="K51" s="705" t="s">
        <v>199</v>
      </c>
      <c r="L51" s="717" t="s">
        <v>213</v>
      </c>
      <c r="M51" s="711" t="s">
        <v>311</v>
      </c>
      <c r="N51" s="731"/>
      <c r="O51" s="704" t="s">
        <v>99</v>
      </c>
      <c r="P51" s="562" t="s">
        <v>198</v>
      </c>
      <c r="Q51" s="705" t="s">
        <v>199</v>
      </c>
      <c r="R51" s="462" t="s">
        <v>213</v>
      </c>
      <c r="S51" s="463" t="s">
        <v>216</v>
      </c>
      <c r="T51" s="464" t="s">
        <v>0</v>
      </c>
      <c r="U51" s="465" t="s">
        <v>198</v>
      </c>
      <c r="V51" s="465" t="s">
        <v>228</v>
      </c>
      <c r="W51" s="465" t="s">
        <v>213</v>
      </c>
      <c r="X51" s="465" t="s">
        <v>229</v>
      </c>
      <c r="Y51" s="466" t="s">
        <v>230</v>
      </c>
    </row>
    <row r="52" spans="3:47" ht="11.25" customHeight="1" thickBot="1">
      <c r="C52" s="706">
        <v>43895</v>
      </c>
      <c r="D52" s="707" t="s">
        <v>323</v>
      </c>
      <c r="E52" s="708">
        <v>31</v>
      </c>
      <c r="F52" s="707" t="s">
        <v>322</v>
      </c>
      <c r="G52" s="712" t="s">
        <v>320</v>
      </c>
      <c r="H52" s="720"/>
      <c r="I52" s="739"/>
      <c r="J52" s="561"/>
      <c r="K52" s="561"/>
      <c r="L52" s="561"/>
      <c r="M52" s="712"/>
      <c r="N52" s="720"/>
      <c r="O52" s="467">
        <v>43892</v>
      </c>
      <c r="P52" s="721" t="s">
        <v>317</v>
      </c>
      <c r="Q52" s="749">
        <v>70</v>
      </c>
      <c r="R52" s="725" t="s">
        <v>321</v>
      </c>
      <c r="S52" s="733" t="s">
        <v>320</v>
      </c>
      <c r="T52" s="467">
        <v>43891</v>
      </c>
      <c r="U52" s="467" t="s">
        <v>341</v>
      </c>
      <c r="V52" s="518">
        <v>35</v>
      </c>
      <c r="W52" s="517" t="s">
        <v>342</v>
      </c>
      <c r="X52" s="467" t="s">
        <v>320</v>
      </c>
      <c r="Y52" s="467" t="s">
        <v>334</v>
      </c>
    </row>
    <row r="53" spans="3:47" ht="11.25" customHeight="1" thickBot="1">
      <c r="C53" s="456">
        <v>43898</v>
      </c>
      <c r="D53" s="395" t="s">
        <v>325</v>
      </c>
      <c r="E53" s="513">
        <v>85</v>
      </c>
      <c r="F53" s="395" t="s">
        <v>324</v>
      </c>
      <c r="G53" s="712" t="s">
        <v>320</v>
      </c>
      <c r="H53" s="685"/>
      <c r="I53" s="740"/>
      <c r="J53" s="348"/>
      <c r="K53" s="348"/>
      <c r="L53" s="348"/>
      <c r="M53" s="712"/>
      <c r="N53" s="685"/>
      <c r="O53" s="456">
        <v>43892</v>
      </c>
      <c r="P53" s="348" t="s">
        <v>318</v>
      </c>
      <c r="Q53" s="559">
        <v>151</v>
      </c>
      <c r="R53" s="726" t="s">
        <v>319</v>
      </c>
      <c r="S53" s="733" t="s">
        <v>320</v>
      </c>
      <c r="T53" s="467">
        <v>43911</v>
      </c>
      <c r="U53" s="467" t="s">
        <v>332</v>
      </c>
      <c r="V53" s="518">
        <v>20</v>
      </c>
      <c r="W53" s="517" t="s">
        <v>333</v>
      </c>
      <c r="X53" s="467" t="s">
        <v>320</v>
      </c>
      <c r="Y53" s="467" t="s">
        <v>334</v>
      </c>
    </row>
    <row r="54" spans="3:47" ht="11.25" customHeight="1" thickBot="1">
      <c r="C54" s="456">
        <v>43901</v>
      </c>
      <c r="D54" s="395" t="s">
        <v>326</v>
      </c>
      <c r="E54" s="513">
        <v>130</v>
      </c>
      <c r="F54" s="395" t="s">
        <v>327</v>
      </c>
      <c r="G54" s="712" t="s">
        <v>320</v>
      </c>
      <c r="H54" s="685"/>
      <c r="I54" s="740"/>
      <c r="J54" s="348"/>
      <c r="K54" s="348"/>
      <c r="L54" s="348"/>
      <c r="M54" s="713"/>
      <c r="N54" s="685"/>
      <c r="O54" s="456">
        <v>43894</v>
      </c>
      <c r="P54" s="348" t="s">
        <v>318</v>
      </c>
      <c r="Q54" s="559">
        <v>78</v>
      </c>
      <c r="R54" s="726" t="s">
        <v>319</v>
      </c>
      <c r="S54" s="733" t="s">
        <v>320</v>
      </c>
      <c r="T54" s="456"/>
      <c r="U54" s="395"/>
      <c r="V54" s="518"/>
      <c r="W54" s="517"/>
      <c r="X54" s="395"/>
      <c r="Y54" s="467"/>
    </row>
    <row r="55" spans="3:47" ht="11.25" customHeight="1" thickBot="1">
      <c r="C55" s="456">
        <v>43904</v>
      </c>
      <c r="D55" s="395" t="s">
        <v>328</v>
      </c>
      <c r="E55" s="513">
        <v>108</v>
      </c>
      <c r="F55" s="395" t="s">
        <v>329</v>
      </c>
      <c r="G55" s="712" t="s">
        <v>320</v>
      </c>
      <c r="H55" s="685"/>
      <c r="I55" s="722"/>
      <c r="J55" s="348"/>
      <c r="K55" s="348"/>
      <c r="L55" s="348"/>
      <c r="M55" s="713"/>
      <c r="N55" s="685"/>
      <c r="O55" s="732"/>
      <c r="P55" s="348"/>
      <c r="Q55" s="559"/>
      <c r="R55" s="726"/>
      <c r="S55" s="733"/>
      <c r="T55" s="456"/>
      <c r="U55" s="395"/>
      <c r="V55" s="518"/>
      <c r="W55" s="560"/>
      <c r="X55" s="395"/>
      <c r="Y55" s="467"/>
    </row>
    <row r="56" spans="3:47" ht="11.25" customHeight="1">
      <c r="C56" s="456">
        <v>43905</v>
      </c>
      <c r="D56" s="395" t="s">
        <v>326</v>
      </c>
      <c r="E56" s="513">
        <v>37</v>
      </c>
      <c r="F56" s="395" t="s">
        <v>327</v>
      </c>
      <c r="G56" s="712" t="s">
        <v>320</v>
      </c>
      <c r="H56" s="685"/>
      <c r="I56" s="722"/>
      <c r="J56" s="348"/>
      <c r="K56" s="348"/>
      <c r="L56" s="348"/>
      <c r="M56" s="713"/>
      <c r="N56" s="685"/>
      <c r="O56" s="732"/>
      <c r="P56" s="348"/>
      <c r="Q56" s="559"/>
      <c r="R56" s="726"/>
      <c r="S56" s="733"/>
      <c r="T56" s="456"/>
      <c r="U56" s="395"/>
      <c r="V56" s="518"/>
      <c r="W56" s="560"/>
      <c r="X56" s="395"/>
      <c r="Y56" s="467"/>
    </row>
    <row r="57" spans="3:47" ht="11.25" customHeight="1">
      <c r="C57" s="456">
        <v>43908</v>
      </c>
      <c r="D57" s="395" t="s">
        <v>330</v>
      </c>
      <c r="E57" s="513">
        <v>156</v>
      </c>
      <c r="F57" s="395" t="s">
        <v>331</v>
      </c>
      <c r="G57" s="712" t="s">
        <v>320</v>
      </c>
      <c r="H57" s="685"/>
      <c r="I57" s="722"/>
      <c r="J57" s="348"/>
      <c r="K57" s="348"/>
      <c r="L57" s="348"/>
      <c r="M57" s="713"/>
      <c r="N57" s="685"/>
      <c r="O57" s="732"/>
      <c r="P57" s="348"/>
      <c r="Q57" s="559"/>
      <c r="R57" s="726"/>
      <c r="S57" s="733"/>
      <c r="T57" s="456"/>
      <c r="U57" s="395"/>
      <c r="V57" s="518"/>
      <c r="W57" s="560"/>
      <c r="X57" s="395"/>
      <c r="Y57" s="457"/>
    </row>
    <row r="58" spans="3:47" ht="11.25" customHeight="1">
      <c r="C58" s="456">
        <v>43914</v>
      </c>
      <c r="D58" s="395" t="s">
        <v>335</v>
      </c>
      <c r="E58" s="513">
        <v>142</v>
      </c>
      <c r="F58" s="395" t="s">
        <v>336</v>
      </c>
      <c r="G58" s="712" t="s">
        <v>320</v>
      </c>
      <c r="H58" s="685"/>
      <c r="I58" s="722"/>
      <c r="J58" s="348"/>
      <c r="K58" s="348"/>
      <c r="L58" s="348"/>
      <c r="M58" s="713"/>
      <c r="N58" s="685"/>
      <c r="O58" s="732"/>
      <c r="P58" s="348"/>
      <c r="Q58" s="559"/>
      <c r="R58" s="726"/>
      <c r="S58" s="733"/>
      <c r="T58" s="456"/>
      <c r="U58" s="395"/>
      <c r="V58" s="518"/>
      <c r="W58" s="560"/>
      <c r="X58" s="395"/>
      <c r="Y58" s="457"/>
    </row>
    <row r="59" spans="3:47" ht="11.25" customHeight="1">
      <c r="C59" s="456">
        <v>43918</v>
      </c>
      <c r="D59" s="395" t="s">
        <v>339</v>
      </c>
      <c r="E59" s="513">
        <v>71</v>
      </c>
      <c r="F59" s="395" t="s">
        <v>340</v>
      </c>
      <c r="G59" s="712" t="s">
        <v>320</v>
      </c>
      <c r="H59" s="685"/>
      <c r="I59" s="722"/>
      <c r="J59" s="348"/>
      <c r="K59" s="348"/>
      <c r="L59" s="348"/>
      <c r="M59" s="713"/>
      <c r="N59" s="685"/>
      <c r="O59" s="732"/>
      <c r="P59" s="348"/>
      <c r="Q59" s="559"/>
      <c r="R59" s="726"/>
      <c r="S59" s="733"/>
      <c r="T59" s="456"/>
      <c r="U59" s="395"/>
      <c r="V59" s="518"/>
      <c r="W59" s="560"/>
      <c r="X59" s="395"/>
      <c r="Y59" s="457"/>
    </row>
    <row r="60" spans="3:47" ht="11.25" customHeight="1">
      <c r="C60" s="456"/>
      <c r="D60" s="395"/>
      <c r="E60" s="513"/>
      <c r="F60" s="395"/>
      <c r="G60" s="713"/>
      <c r="H60" s="685"/>
      <c r="I60" s="722"/>
      <c r="J60" s="348"/>
      <c r="K60" s="348"/>
      <c r="L60" s="348"/>
      <c r="M60" s="713"/>
      <c r="N60" s="685"/>
      <c r="O60" s="732"/>
      <c r="P60" s="348"/>
      <c r="Q60" s="559"/>
      <c r="R60" s="726"/>
      <c r="S60" s="733"/>
      <c r="T60" s="456"/>
      <c r="U60" s="395"/>
      <c r="V60" s="518"/>
      <c r="W60" s="567"/>
      <c r="X60" s="395"/>
      <c r="Y60" s="457"/>
    </row>
    <row r="61" spans="3:47" ht="11.25" customHeight="1">
      <c r="C61" s="456"/>
      <c r="D61" s="395"/>
      <c r="E61" s="513"/>
      <c r="F61" s="395"/>
      <c r="G61" s="713"/>
      <c r="H61" s="685"/>
      <c r="I61" s="722"/>
      <c r="J61" s="348"/>
      <c r="K61" s="348"/>
      <c r="L61" s="348"/>
      <c r="M61" s="713"/>
      <c r="N61" s="685"/>
      <c r="O61" s="732"/>
      <c r="P61" s="348"/>
      <c r="Q61" s="559"/>
      <c r="R61" s="726"/>
      <c r="S61" s="734"/>
      <c r="T61" s="456"/>
      <c r="U61" s="395"/>
      <c r="V61" s="518"/>
      <c r="W61" s="560"/>
      <c r="X61" s="395"/>
      <c r="Y61" s="457"/>
    </row>
    <row r="62" spans="3:47" ht="11.25" customHeight="1">
      <c r="C62" s="456"/>
      <c r="D62" s="395"/>
      <c r="E62" s="513"/>
      <c r="F62" s="395"/>
      <c r="G62" s="713"/>
      <c r="H62" s="685"/>
      <c r="I62" s="722"/>
      <c r="J62" s="348"/>
      <c r="K62" s="348"/>
      <c r="L62" s="348"/>
      <c r="M62" s="713"/>
      <c r="N62" s="685"/>
      <c r="O62" s="732"/>
      <c r="P62" s="348"/>
      <c r="Q62" s="559"/>
      <c r="R62" s="726"/>
      <c r="S62" s="734"/>
      <c r="T62" s="456"/>
      <c r="U62" s="395"/>
      <c r="V62" s="518"/>
      <c r="W62" s="560"/>
      <c r="X62" s="395"/>
      <c r="Y62" s="457"/>
    </row>
    <row r="63" spans="3:47" ht="11.25" customHeight="1">
      <c r="C63" s="456"/>
      <c r="D63" s="395"/>
      <c r="E63" s="513"/>
      <c r="F63" s="395"/>
      <c r="G63" s="713"/>
      <c r="H63" s="685"/>
      <c r="I63" s="722"/>
      <c r="J63" s="348"/>
      <c r="K63" s="348"/>
      <c r="L63" s="348"/>
      <c r="M63" s="713"/>
      <c r="N63" s="685"/>
      <c r="O63" s="732"/>
      <c r="P63" s="348"/>
      <c r="Q63" s="559"/>
      <c r="R63" s="726"/>
      <c r="S63" s="734"/>
      <c r="T63" s="456"/>
      <c r="U63" s="395"/>
      <c r="V63" s="518"/>
      <c r="W63" s="560"/>
      <c r="X63" s="395"/>
      <c r="Y63" s="457"/>
    </row>
    <row r="64" spans="3:47" ht="11.25" customHeight="1">
      <c r="C64" s="456"/>
      <c r="D64" s="395"/>
      <c r="E64" s="513"/>
      <c r="F64" s="395"/>
      <c r="G64" s="713"/>
      <c r="H64" s="685"/>
      <c r="I64" s="722"/>
      <c r="J64" s="348"/>
      <c r="K64" s="348"/>
      <c r="L64" s="348"/>
      <c r="M64" s="713"/>
      <c r="N64" s="685"/>
      <c r="O64" s="732"/>
      <c r="P64" s="348"/>
      <c r="Q64" s="559"/>
      <c r="R64" s="726"/>
      <c r="S64" s="734"/>
      <c r="T64" s="456"/>
      <c r="U64" s="395"/>
      <c r="V64" s="518"/>
      <c r="W64" s="560"/>
      <c r="X64" s="395"/>
      <c r="Y64" s="457"/>
    </row>
    <row r="65" spans="3:25" ht="11.25" customHeight="1">
      <c r="C65" s="456"/>
      <c r="D65" s="395"/>
      <c r="E65" s="513"/>
      <c r="F65" s="395"/>
      <c r="G65" s="713"/>
      <c r="H65" s="685"/>
      <c r="I65" s="722"/>
      <c r="J65" s="348"/>
      <c r="K65" s="348"/>
      <c r="L65" s="348"/>
      <c r="M65" s="713"/>
      <c r="N65" s="685"/>
      <c r="O65" s="732"/>
      <c r="P65" s="348"/>
      <c r="Q65" s="559"/>
      <c r="R65" s="726"/>
      <c r="S65" s="734"/>
      <c r="T65" s="456"/>
      <c r="U65" s="395"/>
      <c r="V65" s="518"/>
      <c r="W65" s="560"/>
      <c r="X65" s="395"/>
      <c r="Y65" s="457"/>
    </row>
    <row r="66" spans="3:25" ht="11.25" customHeight="1">
      <c r="C66" s="456"/>
      <c r="D66" s="395"/>
      <c r="E66" s="513"/>
      <c r="F66" s="395"/>
      <c r="G66" s="713"/>
      <c r="H66" s="685"/>
      <c r="I66" s="722"/>
      <c r="J66" s="348"/>
      <c r="K66" s="348"/>
      <c r="L66" s="348"/>
      <c r="M66" s="713"/>
      <c r="N66" s="685"/>
      <c r="O66" s="732"/>
      <c r="P66" s="348"/>
      <c r="Q66" s="348"/>
      <c r="R66" s="727"/>
      <c r="S66" s="734"/>
      <c r="T66" s="456"/>
      <c r="U66" s="395"/>
      <c r="V66" s="518"/>
      <c r="W66" s="560"/>
      <c r="X66" s="395"/>
      <c r="Y66" s="457"/>
    </row>
    <row r="67" spans="3:25" ht="11.25" customHeight="1">
      <c r="C67" s="456"/>
      <c r="D67" s="395"/>
      <c r="E67" s="513"/>
      <c r="F67" s="395"/>
      <c r="G67" s="713"/>
      <c r="H67" s="685"/>
      <c r="I67" s="722"/>
      <c r="J67" s="348"/>
      <c r="K67" s="348"/>
      <c r="L67" s="348"/>
      <c r="M67" s="713"/>
      <c r="N67" s="685"/>
      <c r="O67" s="732"/>
      <c r="P67" s="348"/>
      <c r="Q67" s="348"/>
      <c r="R67" s="727"/>
      <c r="S67" s="734"/>
      <c r="T67" s="456"/>
      <c r="U67" s="395"/>
      <c r="V67" s="518"/>
      <c r="W67" s="560"/>
      <c r="X67" s="395"/>
      <c r="Y67" s="457"/>
    </row>
    <row r="68" spans="3:25" ht="11.25" customHeight="1">
      <c r="C68" s="456"/>
      <c r="D68" s="395"/>
      <c r="E68" s="513"/>
      <c r="F68" s="395"/>
      <c r="G68" s="713"/>
      <c r="H68" s="685"/>
      <c r="I68" s="722"/>
      <c r="J68" s="348"/>
      <c r="K68" s="348"/>
      <c r="L68" s="348"/>
      <c r="M68" s="713"/>
      <c r="N68" s="685"/>
      <c r="O68" s="732"/>
      <c r="P68" s="348"/>
      <c r="Q68" s="348"/>
      <c r="R68" s="726"/>
      <c r="S68" s="734"/>
      <c r="T68" s="456"/>
      <c r="U68" s="395"/>
      <c r="V68" s="518"/>
      <c r="W68" s="560"/>
      <c r="X68" s="395"/>
      <c r="Y68" s="457"/>
    </row>
    <row r="69" spans="3:25" ht="11.25" customHeight="1">
      <c r="C69" s="456"/>
      <c r="D69" s="395"/>
      <c r="E69" s="513"/>
      <c r="F69" s="395"/>
      <c r="G69" s="713"/>
      <c r="H69" s="685"/>
      <c r="I69" s="722"/>
      <c r="J69" s="348"/>
      <c r="K69" s="348"/>
      <c r="L69" s="348"/>
      <c r="M69" s="713"/>
      <c r="N69" s="685"/>
      <c r="O69" s="732"/>
      <c r="P69" s="348"/>
      <c r="Q69" s="348"/>
      <c r="R69" s="726"/>
      <c r="S69" s="734"/>
      <c r="T69" s="456"/>
      <c r="U69" s="395"/>
      <c r="V69" s="518"/>
      <c r="W69" s="560"/>
      <c r="X69" s="395"/>
      <c r="Y69" s="457"/>
    </row>
    <row r="70" spans="3:25" ht="11.25" customHeight="1">
      <c r="C70" s="456"/>
      <c r="D70" s="395"/>
      <c r="E70" s="513"/>
      <c r="F70" s="395"/>
      <c r="G70" s="713"/>
      <c r="H70" s="685"/>
      <c r="I70" s="722"/>
      <c r="J70" s="348"/>
      <c r="K70" s="348"/>
      <c r="L70" s="348"/>
      <c r="M70" s="713"/>
      <c r="N70" s="685"/>
      <c r="O70" s="732"/>
      <c r="P70" s="348"/>
      <c r="Q70" s="348"/>
      <c r="R70" s="726"/>
      <c r="S70" s="734"/>
      <c r="T70" s="456"/>
      <c r="U70" s="395"/>
      <c r="V70" s="518"/>
      <c r="W70" s="560"/>
      <c r="X70" s="395"/>
      <c r="Y70" s="457"/>
    </row>
    <row r="71" spans="3:25" ht="11.25" customHeight="1">
      <c r="C71" s="456"/>
      <c r="D71" s="395"/>
      <c r="E71" s="513"/>
      <c r="F71" s="395"/>
      <c r="G71" s="713"/>
      <c r="H71" s="685"/>
      <c r="I71" s="722"/>
      <c r="J71" s="348"/>
      <c r="K71" s="348"/>
      <c r="L71" s="348"/>
      <c r="M71" s="713"/>
      <c r="N71" s="685"/>
      <c r="O71" s="732"/>
      <c r="P71" s="348"/>
      <c r="Q71" s="348"/>
      <c r="R71" s="726"/>
      <c r="S71" s="734"/>
      <c r="T71" s="456"/>
      <c r="U71" s="395"/>
      <c r="V71" s="518"/>
      <c r="W71" s="560"/>
      <c r="X71" s="395"/>
      <c r="Y71" s="457"/>
    </row>
    <row r="72" spans="3:25" ht="11.25" customHeight="1">
      <c r="C72" s="456"/>
      <c r="D72" s="395"/>
      <c r="E72" s="513"/>
      <c r="F72" s="395"/>
      <c r="G72" s="713"/>
      <c r="H72" s="685"/>
      <c r="I72" s="723"/>
      <c r="J72" s="352"/>
      <c r="K72" s="352"/>
      <c r="L72" s="352"/>
      <c r="M72" s="713"/>
      <c r="N72" s="685"/>
      <c r="O72" s="732"/>
      <c r="P72" s="348"/>
      <c r="Q72" s="348"/>
      <c r="R72" s="728"/>
      <c r="S72" s="734"/>
      <c r="T72" s="456"/>
      <c r="U72" s="395"/>
      <c r="V72" s="518"/>
      <c r="W72" s="560"/>
      <c r="X72" s="395"/>
      <c r="Y72" s="457"/>
    </row>
    <row r="73" spans="3:25" ht="11.25" customHeight="1">
      <c r="C73" s="456"/>
      <c r="D73" s="395"/>
      <c r="E73" s="513"/>
      <c r="F73" s="395"/>
      <c r="G73" s="713"/>
      <c r="H73" s="685"/>
      <c r="I73" s="722"/>
      <c r="J73" s="348"/>
      <c r="K73" s="348"/>
      <c r="L73" s="348"/>
      <c r="M73" s="713"/>
      <c r="N73" s="685"/>
      <c r="O73" s="732"/>
      <c r="P73" s="348"/>
      <c r="Q73" s="348"/>
      <c r="R73" s="726"/>
      <c r="S73" s="734"/>
      <c r="T73" s="456"/>
      <c r="U73" s="395"/>
      <c r="V73" s="518"/>
      <c r="W73" s="560"/>
      <c r="X73" s="395"/>
      <c r="Y73" s="457"/>
    </row>
    <row r="74" spans="3:25" ht="11.25" customHeight="1">
      <c r="C74" s="456"/>
      <c r="D74" s="395"/>
      <c r="E74" s="513"/>
      <c r="F74" s="395"/>
      <c r="G74" s="713"/>
      <c r="H74" s="685"/>
      <c r="I74" s="722"/>
      <c r="J74" s="348"/>
      <c r="K74" s="348"/>
      <c r="L74" s="348"/>
      <c r="M74" s="713"/>
      <c r="N74" s="685"/>
      <c r="O74" s="732"/>
      <c r="P74" s="348"/>
      <c r="Q74" s="348"/>
      <c r="R74" s="726"/>
      <c r="S74" s="734"/>
      <c r="T74" s="456"/>
      <c r="U74" s="395"/>
      <c r="V74" s="518"/>
      <c r="W74" s="560"/>
      <c r="X74" s="395"/>
      <c r="Y74" s="457"/>
    </row>
    <row r="75" spans="3:25" ht="11.25" customHeight="1">
      <c r="C75" s="456"/>
      <c r="D75" s="395"/>
      <c r="E75" s="513"/>
      <c r="F75" s="395"/>
      <c r="G75" s="713"/>
      <c r="H75" s="685"/>
      <c r="I75" s="722"/>
      <c r="J75" s="348"/>
      <c r="K75" s="348"/>
      <c r="L75" s="348"/>
      <c r="M75" s="713"/>
      <c r="N75" s="685"/>
      <c r="O75" s="732"/>
      <c r="P75" s="348"/>
      <c r="Q75" s="348"/>
      <c r="R75" s="726"/>
      <c r="S75" s="734"/>
      <c r="T75" s="456"/>
      <c r="U75" s="395"/>
      <c r="V75" s="518"/>
      <c r="W75" s="560"/>
      <c r="X75" s="395"/>
      <c r="Y75" s="457"/>
    </row>
    <row r="76" spans="3:25" ht="9.75" customHeight="1">
      <c r="C76" s="456"/>
      <c r="D76" s="395"/>
      <c r="E76" s="513"/>
      <c r="F76" s="395"/>
      <c r="G76" s="713"/>
      <c r="H76" s="685"/>
      <c r="I76" s="722"/>
      <c r="J76" s="348"/>
      <c r="K76" s="348"/>
      <c r="L76" s="348"/>
      <c r="M76" s="713"/>
      <c r="N76" s="685"/>
      <c r="O76" s="732"/>
      <c r="P76" s="348"/>
      <c r="Q76" s="348"/>
      <c r="R76" s="726"/>
      <c r="S76" s="734"/>
      <c r="T76" s="456"/>
      <c r="U76" s="395"/>
      <c r="V76" s="518"/>
      <c r="W76" s="560"/>
      <c r="X76" s="395"/>
      <c r="Y76" s="457"/>
    </row>
    <row r="77" spans="3:25" ht="11.25" hidden="1" customHeight="1">
      <c r="C77" s="456"/>
      <c r="D77" s="395"/>
      <c r="E77" s="513"/>
      <c r="F77" s="395"/>
      <c r="G77" s="713"/>
      <c r="H77" s="685"/>
      <c r="I77" s="722"/>
      <c r="J77" s="559"/>
      <c r="K77" s="559"/>
      <c r="L77" s="348"/>
      <c r="M77" s="713"/>
      <c r="N77" s="685"/>
      <c r="O77" s="732"/>
      <c r="P77" s="348"/>
      <c r="Q77" s="348"/>
      <c r="R77" s="726"/>
      <c r="S77" s="734"/>
      <c r="T77" s="456"/>
      <c r="U77" s="395"/>
      <c r="V77" s="518"/>
      <c r="W77" s="560"/>
      <c r="X77" s="395"/>
      <c r="Y77" s="457"/>
    </row>
    <row r="78" spans="3:25" ht="11.25" customHeight="1">
      <c r="C78" s="456"/>
      <c r="D78" s="395"/>
      <c r="E78" s="513"/>
      <c r="F78" s="395"/>
      <c r="G78" s="713"/>
      <c r="H78" s="685"/>
      <c r="I78" s="722"/>
      <c r="J78" s="348"/>
      <c r="K78" s="348"/>
      <c r="L78" s="348"/>
      <c r="M78" s="713"/>
      <c r="N78" s="685"/>
      <c r="O78" s="732"/>
      <c r="P78" s="348"/>
      <c r="Q78" s="348"/>
      <c r="R78" s="726"/>
      <c r="S78" s="734"/>
      <c r="T78" s="456"/>
      <c r="U78" s="395"/>
      <c r="V78" s="518"/>
      <c r="W78" s="560"/>
      <c r="X78" s="395"/>
      <c r="Y78" s="457"/>
    </row>
    <row r="79" spans="3:25" ht="11.25" customHeight="1">
      <c r="C79" s="456"/>
      <c r="D79" s="395"/>
      <c r="E79" s="513"/>
      <c r="F79" s="395"/>
      <c r="G79" s="713"/>
      <c r="H79" s="685"/>
      <c r="I79" s="722"/>
      <c r="J79" s="348"/>
      <c r="K79" s="348"/>
      <c r="L79" s="348"/>
      <c r="M79" s="713"/>
      <c r="N79" s="685"/>
      <c r="O79" s="732"/>
      <c r="P79" s="348"/>
      <c r="Q79" s="348"/>
      <c r="R79" s="726"/>
      <c r="S79" s="734"/>
      <c r="T79" s="456"/>
      <c r="U79" s="395"/>
      <c r="V79" s="518"/>
      <c r="W79" s="560"/>
      <c r="X79" s="395"/>
      <c r="Y79" s="457"/>
    </row>
    <row r="80" spans="3:25" ht="11.25" customHeight="1">
      <c r="C80" s="456"/>
      <c r="D80" s="395"/>
      <c r="E80" s="513"/>
      <c r="F80" s="395"/>
      <c r="G80" s="713"/>
      <c r="H80" s="685"/>
      <c r="I80" s="722"/>
      <c r="J80" s="348"/>
      <c r="K80" s="348"/>
      <c r="L80" s="348"/>
      <c r="M80" s="713"/>
      <c r="N80" s="685"/>
      <c r="O80" s="732"/>
      <c r="P80" s="348"/>
      <c r="Q80" s="348"/>
      <c r="R80" s="726"/>
      <c r="S80" s="734"/>
      <c r="T80" s="456"/>
      <c r="U80" s="395"/>
      <c r="V80" s="518"/>
      <c r="W80" s="560"/>
      <c r="X80" s="395"/>
      <c r="Y80" s="457"/>
    </row>
    <row r="81" spans="3:25" ht="11.25" customHeight="1">
      <c r="C81" s="456"/>
      <c r="D81" s="395"/>
      <c r="E81" s="513"/>
      <c r="F81" s="395"/>
      <c r="G81" s="713"/>
      <c r="H81" s="685"/>
      <c r="I81" s="722"/>
      <c r="J81" s="348"/>
      <c r="K81" s="348"/>
      <c r="L81" s="348"/>
      <c r="M81" s="713"/>
      <c r="N81" s="685"/>
      <c r="O81" s="732"/>
      <c r="P81" s="348"/>
      <c r="Q81" s="348"/>
      <c r="R81" s="726"/>
      <c r="S81" s="734"/>
      <c r="T81" s="456"/>
      <c r="U81" s="395"/>
      <c r="V81" s="518"/>
      <c r="W81" s="560"/>
      <c r="X81" s="395"/>
      <c r="Y81" s="457"/>
    </row>
    <row r="82" spans="3:25" ht="11.25" customHeight="1">
      <c r="C82" s="456"/>
      <c r="D82" s="395"/>
      <c r="E82" s="513"/>
      <c r="F82" s="395"/>
      <c r="G82" s="713"/>
      <c r="H82" s="685"/>
      <c r="I82" s="722"/>
      <c r="J82" s="348"/>
      <c r="K82" s="348"/>
      <c r="L82" s="348"/>
      <c r="M82" s="713"/>
      <c r="N82" s="685"/>
      <c r="O82" s="732"/>
      <c r="P82" s="348"/>
      <c r="Q82" s="348"/>
      <c r="R82" s="726"/>
      <c r="S82" s="734"/>
      <c r="T82" s="456"/>
      <c r="U82" s="395"/>
      <c r="V82" s="518"/>
      <c r="W82" s="560"/>
      <c r="X82" s="395"/>
      <c r="Y82" s="457"/>
    </row>
    <row r="83" spans="3:25" ht="11.25" customHeight="1">
      <c r="C83" s="456"/>
      <c r="D83" s="395"/>
      <c r="E83" s="513"/>
      <c r="F83" s="395"/>
      <c r="G83" s="713"/>
      <c r="H83" s="685"/>
      <c r="I83" s="722"/>
      <c r="J83" s="348"/>
      <c r="K83" s="348"/>
      <c r="L83" s="348"/>
      <c r="M83" s="713"/>
      <c r="N83" s="685"/>
      <c r="O83" s="732"/>
      <c r="P83" s="348"/>
      <c r="Q83" s="348"/>
      <c r="R83" s="726"/>
      <c r="S83" s="734"/>
      <c r="T83" s="456"/>
      <c r="U83" s="395"/>
      <c r="V83" s="518"/>
      <c r="W83" s="560"/>
      <c r="X83" s="395"/>
      <c r="Y83" s="457"/>
    </row>
    <row r="84" spans="3:25" ht="11.25" customHeight="1">
      <c r="C84" s="456"/>
      <c r="D84" s="395"/>
      <c r="E84" s="513"/>
      <c r="F84" s="395"/>
      <c r="G84" s="713"/>
      <c r="H84" s="685"/>
      <c r="I84" s="722"/>
      <c r="J84" s="348"/>
      <c r="K84" s="348"/>
      <c r="L84" s="348"/>
      <c r="M84" s="713"/>
      <c r="N84" s="685"/>
      <c r="O84" s="732"/>
      <c r="P84" s="348"/>
      <c r="Q84" s="348"/>
      <c r="R84" s="726"/>
      <c r="S84" s="734"/>
      <c r="T84" s="456"/>
      <c r="U84" s="395"/>
      <c r="V84" s="395"/>
      <c r="W84" s="395"/>
      <c r="X84" s="395"/>
      <c r="Y84" s="457"/>
    </row>
    <row r="85" spans="3:25" ht="11.25" customHeight="1">
      <c r="C85" s="456"/>
      <c r="D85" s="395"/>
      <c r="E85" s="513"/>
      <c r="F85" s="395"/>
      <c r="G85" s="713"/>
      <c r="H85" s="685"/>
      <c r="I85" s="722"/>
      <c r="J85" s="348"/>
      <c r="K85" s="348"/>
      <c r="L85" s="348"/>
      <c r="M85" s="713"/>
      <c r="N85" s="685"/>
      <c r="O85" s="732"/>
      <c r="P85" s="348"/>
      <c r="Q85" s="348"/>
      <c r="R85" s="726"/>
      <c r="S85" s="734"/>
      <c r="T85" s="456"/>
      <c r="U85" s="395"/>
      <c r="V85" s="395"/>
      <c r="W85" s="395"/>
      <c r="X85" s="395"/>
      <c r="Y85" s="457"/>
    </row>
    <row r="86" spans="3:25" ht="11.25" customHeight="1">
      <c r="C86" s="456"/>
      <c r="D86" s="395"/>
      <c r="E86" s="513"/>
      <c r="F86" s="395"/>
      <c r="G86" s="713"/>
      <c r="H86" s="685"/>
      <c r="I86" s="722"/>
      <c r="J86" s="348"/>
      <c r="K86" s="348"/>
      <c r="L86" s="348"/>
      <c r="M86" s="713"/>
      <c r="N86" s="685"/>
      <c r="O86" s="732"/>
      <c r="P86" s="348"/>
      <c r="Q86" s="348"/>
      <c r="R86" s="726"/>
      <c r="S86" s="734"/>
      <c r="T86" s="456"/>
      <c r="U86" s="395"/>
      <c r="V86" s="395"/>
      <c r="W86" s="395"/>
      <c r="X86" s="395"/>
      <c r="Y86" s="457"/>
    </row>
    <row r="87" spans="3:25" ht="11.25" customHeight="1">
      <c r="C87" s="456"/>
      <c r="D87" s="395"/>
      <c r="E87" s="513"/>
      <c r="F87" s="395"/>
      <c r="G87" s="713"/>
      <c r="H87" s="685"/>
      <c r="I87" s="722"/>
      <c r="J87" s="348"/>
      <c r="K87" s="348"/>
      <c r="L87" s="348"/>
      <c r="M87" s="713"/>
      <c r="N87" s="685"/>
      <c r="O87" s="732"/>
      <c r="P87" s="348"/>
      <c r="Q87" s="348"/>
      <c r="R87" s="726"/>
      <c r="S87" s="734"/>
      <c r="T87" s="456"/>
      <c r="U87" s="395"/>
      <c r="V87" s="395"/>
      <c r="W87" s="395"/>
      <c r="X87" s="395"/>
      <c r="Y87" s="457"/>
    </row>
    <row r="88" spans="3:25" ht="11.25" customHeight="1">
      <c r="C88" s="456"/>
      <c r="D88" s="395"/>
      <c r="E88" s="513"/>
      <c r="F88" s="395"/>
      <c r="G88" s="713"/>
      <c r="H88" s="685"/>
      <c r="I88" s="722"/>
      <c r="J88" s="348"/>
      <c r="K88" s="348"/>
      <c r="L88" s="348"/>
      <c r="M88" s="713"/>
      <c r="N88" s="685"/>
      <c r="O88" s="732"/>
      <c r="P88" s="348"/>
      <c r="Q88" s="348"/>
      <c r="R88" s="726"/>
      <c r="S88" s="734"/>
      <c r="T88" s="456"/>
      <c r="U88" s="395"/>
      <c r="V88" s="395"/>
      <c r="W88" s="395"/>
      <c r="X88" s="395"/>
      <c r="Y88" s="457"/>
    </row>
    <row r="89" spans="3:25" ht="11.25" customHeight="1">
      <c r="C89" s="456"/>
      <c r="D89" s="395"/>
      <c r="E89" s="513"/>
      <c r="F89" s="395"/>
      <c r="G89" s="713"/>
      <c r="H89" s="685"/>
      <c r="I89" s="722"/>
      <c r="J89" s="348"/>
      <c r="K89" s="348"/>
      <c r="L89" s="348"/>
      <c r="M89" s="713"/>
      <c r="N89" s="685"/>
      <c r="O89" s="732"/>
      <c r="P89" s="348"/>
      <c r="Q89" s="348"/>
      <c r="R89" s="726"/>
      <c r="S89" s="734"/>
      <c r="T89" s="456"/>
      <c r="U89" s="395"/>
      <c r="V89" s="395"/>
      <c r="W89" s="395"/>
      <c r="X89" s="395"/>
      <c r="Y89" s="457"/>
    </row>
    <row r="90" spans="3:25" ht="11.25" customHeight="1">
      <c r="C90" s="456"/>
      <c r="D90" s="395"/>
      <c r="E90" s="513"/>
      <c r="F90" s="395"/>
      <c r="G90" s="713"/>
      <c r="H90" s="685"/>
      <c r="I90" s="722"/>
      <c r="J90" s="348"/>
      <c r="K90" s="348"/>
      <c r="L90" s="348"/>
      <c r="M90" s="713"/>
      <c r="N90" s="685"/>
      <c r="O90" s="732"/>
      <c r="P90" s="348"/>
      <c r="Q90" s="348"/>
      <c r="R90" s="726"/>
      <c r="S90" s="734"/>
      <c r="T90" s="456"/>
      <c r="U90" s="395"/>
      <c r="V90" s="395"/>
      <c r="W90" s="395"/>
      <c r="X90" s="395"/>
      <c r="Y90" s="457"/>
    </row>
    <row r="91" spans="3:25">
      <c r="C91" s="456"/>
      <c r="D91" s="395"/>
      <c r="E91" s="513"/>
      <c r="F91" s="395"/>
      <c r="G91" s="713"/>
      <c r="H91" s="685"/>
      <c r="I91" s="722"/>
      <c r="J91" s="348"/>
      <c r="K91" s="348"/>
      <c r="L91" s="348"/>
      <c r="M91" s="713"/>
      <c r="N91" s="685"/>
      <c r="O91" s="732"/>
      <c r="P91" s="348"/>
      <c r="Q91" s="348"/>
      <c r="R91" s="726"/>
      <c r="S91" s="734"/>
      <c r="T91" s="456"/>
      <c r="U91" s="395"/>
      <c r="V91" s="395"/>
      <c r="W91" s="395"/>
      <c r="X91" s="395"/>
      <c r="Y91" s="457"/>
    </row>
    <row r="92" spans="3:25">
      <c r="C92" s="456"/>
      <c r="D92" s="395"/>
      <c r="E92" s="513"/>
      <c r="F92" s="395"/>
      <c r="G92" s="713"/>
      <c r="H92" s="685"/>
      <c r="I92" s="722"/>
      <c r="J92" s="348"/>
      <c r="K92" s="348"/>
      <c r="L92" s="348"/>
      <c r="M92" s="713"/>
      <c r="N92" s="685"/>
      <c r="O92" s="732"/>
      <c r="P92" s="348"/>
      <c r="Q92" s="348"/>
      <c r="R92" s="726"/>
      <c r="S92" s="734"/>
      <c r="T92" s="456"/>
      <c r="U92" s="395"/>
      <c r="V92" s="395"/>
      <c r="W92" s="395"/>
      <c r="X92" s="395"/>
      <c r="Y92" s="457"/>
    </row>
    <row r="93" spans="3:25">
      <c r="C93" s="456"/>
      <c r="D93" s="395"/>
      <c r="E93" s="513"/>
      <c r="F93" s="395"/>
      <c r="G93" s="713"/>
      <c r="H93" s="685"/>
      <c r="I93" s="722"/>
      <c r="J93" s="348"/>
      <c r="K93" s="348"/>
      <c r="L93" s="348"/>
      <c r="M93" s="713"/>
      <c r="N93" s="685"/>
      <c r="O93" s="732"/>
      <c r="P93" s="348"/>
      <c r="Q93" s="348"/>
      <c r="R93" s="726"/>
      <c r="S93" s="734"/>
      <c r="T93" s="456"/>
      <c r="U93" s="395"/>
      <c r="V93" s="395"/>
      <c r="W93" s="395"/>
      <c r="X93" s="395"/>
      <c r="Y93" s="457"/>
    </row>
    <row r="94" spans="3:25">
      <c r="C94" s="456"/>
      <c r="D94" s="395"/>
      <c r="E94" s="513"/>
      <c r="F94" s="395"/>
      <c r="G94" s="713"/>
      <c r="H94" s="685"/>
      <c r="I94" s="722"/>
      <c r="J94" s="348"/>
      <c r="K94" s="348"/>
      <c r="L94" s="348"/>
      <c r="M94" s="713"/>
      <c r="N94" s="685"/>
      <c r="O94" s="732"/>
      <c r="P94" s="348"/>
      <c r="Q94" s="348"/>
      <c r="R94" s="726"/>
      <c r="S94" s="734"/>
      <c r="T94" s="456"/>
      <c r="U94" s="395"/>
      <c r="V94" s="395"/>
      <c r="W94" s="395"/>
      <c r="X94" s="395"/>
      <c r="Y94" s="457"/>
    </row>
    <row r="95" spans="3:25">
      <c r="C95" s="456"/>
      <c r="D95" s="395"/>
      <c r="E95" s="513"/>
      <c r="F95" s="395"/>
      <c r="G95" s="713"/>
      <c r="H95" s="685"/>
      <c r="I95" s="722"/>
      <c r="J95" s="348"/>
      <c r="K95" s="348"/>
      <c r="L95" s="348"/>
      <c r="M95" s="713"/>
      <c r="N95" s="685"/>
      <c r="O95" s="732"/>
      <c r="P95" s="348"/>
      <c r="Q95" s="348"/>
      <c r="R95" s="726"/>
      <c r="S95" s="734"/>
      <c r="T95" s="456"/>
      <c r="U95" s="395"/>
      <c r="V95" s="395"/>
      <c r="W95" s="395"/>
      <c r="X95" s="395"/>
      <c r="Y95" s="457"/>
    </row>
    <row r="96" spans="3:25">
      <c r="C96" s="456"/>
      <c r="D96" s="395"/>
      <c r="E96" s="513"/>
      <c r="F96" s="395"/>
      <c r="G96" s="713"/>
      <c r="H96" s="685"/>
      <c r="I96" s="722"/>
      <c r="J96" s="348"/>
      <c r="K96" s="348"/>
      <c r="L96" s="348"/>
      <c r="M96" s="713"/>
      <c r="N96" s="685"/>
      <c r="O96" s="732"/>
      <c r="P96" s="348"/>
      <c r="Q96" s="348"/>
      <c r="R96" s="726"/>
      <c r="S96" s="734"/>
      <c r="T96" s="456"/>
      <c r="U96" s="395"/>
      <c r="V96" s="395"/>
      <c r="W96" s="395"/>
      <c r="X96" s="395"/>
      <c r="Y96" s="457"/>
    </row>
    <row r="97" spans="3:25" ht="12" thickBot="1">
      <c r="C97" s="458"/>
      <c r="D97" s="459"/>
      <c r="E97" s="460"/>
      <c r="F97" s="459"/>
      <c r="G97" s="714"/>
      <c r="H97" s="703"/>
      <c r="I97" s="724"/>
      <c r="J97" s="715"/>
      <c r="K97" s="715"/>
      <c r="L97" s="715"/>
      <c r="M97" s="714"/>
      <c r="N97" s="703"/>
      <c r="O97" s="735"/>
      <c r="P97" s="715"/>
      <c r="Q97" s="715"/>
      <c r="R97" s="729"/>
      <c r="S97" s="736"/>
      <c r="T97" s="458"/>
      <c r="U97" s="459"/>
      <c r="V97" s="459"/>
      <c r="W97" s="459"/>
      <c r="X97" s="459"/>
      <c r="Y97" s="461"/>
    </row>
  </sheetData>
  <mergeCells count="9">
    <mergeCell ref="C50:G50"/>
    <mergeCell ref="I50:M50"/>
    <mergeCell ref="B1:C6"/>
    <mergeCell ref="E2:AU2"/>
    <mergeCell ref="G7:M7"/>
    <mergeCell ref="N7:S7"/>
    <mergeCell ref="G6:M6"/>
    <mergeCell ref="T50:Y50"/>
    <mergeCell ref="O50:S50"/>
  </mergeCells>
  <phoneticPr fontId="4" type="noConversion"/>
  <pageMargins left="0.75" right="0.75" top="1" bottom="1" header="0.5" footer="0.5"/>
  <pageSetup paperSize="9" scale="30" orientation="landscape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topLeftCell="A31" workbookViewId="0">
      <selection activeCell="R22" sqref="R22"/>
    </sheetView>
  </sheetViews>
  <sheetFormatPr defaultRowHeight="12.75"/>
  <cols>
    <col min="2" max="2" width="10.28515625" style="12" bestFit="1" customWidth="1"/>
  </cols>
  <sheetData>
    <row r="1" spans="1:6" s="15" customFormat="1" ht="51">
      <c r="A1" s="11" t="s">
        <v>0</v>
      </c>
      <c r="B1" s="14" t="s">
        <v>264</v>
      </c>
      <c r="C1" s="11" t="s">
        <v>24</v>
      </c>
      <c r="D1" s="79" t="s">
        <v>61</v>
      </c>
      <c r="E1" s="79" t="s">
        <v>62</v>
      </c>
    </row>
    <row r="2" spans="1:6">
      <c r="A2" s="96">
        <f>Gen!B11</f>
        <v>43891</v>
      </c>
      <c r="B2" s="13">
        <f>SUM('[1]Summery Report'!F5)</f>
        <v>5669</v>
      </c>
      <c r="C2" s="119">
        <f>SUM('[1]Summery Report'!C5)</f>
        <v>0.623</v>
      </c>
      <c r="D2" s="80" t="e">
        <f>SUM('[1]Summery Report'!#REF!)</f>
        <v>#REF!</v>
      </c>
      <c r="E2" s="80" t="e">
        <f>SUM('[1]Summery Report'!#REF!)</f>
        <v>#REF!</v>
      </c>
      <c r="F2" s="19">
        <v>0.1</v>
      </c>
    </row>
    <row r="3" spans="1:6">
      <c r="A3" s="96">
        <f>Gen!B12</f>
        <v>43892</v>
      </c>
      <c r="B3" s="13">
        <f>SUM('[1]Summery Report'!F6)</f>
        <v>6159</v>
      </c>
      <c r="C3" s="119">
        <f>SUM('[1]Summery Report'!C6)</f>
        <v>0.77900000000000003</v>
      </c>
      <c r="D3" s="80" t="e">
        <f>SUM('[1]Summery Report'!#REF!)</f>
        <v>#REF!</v>
      </c>
      <c r="E3" s="80" t="e">
        <f>SUM('[1]Summery Report'!#REF!)</f>
        <v>#REF!</v>
      </c>
      <c r="F3" s="19">
        <v>0.13750000000000001</v>
      </c>
    </row>
    <row r="4" spans="1:6">
      <c r="A4" s="96">
        <f>Gen!B13</f>
        <v>43893</v>
      </c>
      <c r="B4" s="13">
        <f>SUM('[1]Summery Report'!F7)</f>
        <v>6580</v>
      </c>
      <c r="C4" s="119">
        <f>SUM('[1]Summery Report'!C7)</f>
        <v>0.53200000000000003</v>
      </c>
      <c r="D4" s="80" t="e">
        <f>SUM('[1]Summery Report'!#REF!)</f>
        <v>#REF!</v>
      </c>
      <c r="E4" s="80" t="e">
        <f>SUM('[1]Summery Report'!#REF!)</f>
        <v>#REF!</v>
      </c>
      <c r="F4" s="19">
        <v>8.7499999999999994E-2</v>
      </c>
    </row>
    <row r="5" spans="1:6">
      <c r="A5" s="96">
        <f>Gen!B14</f>
        <v>43894</v>
      </c>
      <c r="B5" s="13">
        <f>SUM('[1]Summery Report'!F8)</f>
        <v>6223</v>
      </c>
      <c r="C5" s="119">
        <f>SUM('[1]Summery Report'!C8)</f>
        <v>0.61</v>
      </c>
      <c r="D5" s="80" t="e">
        <f>SUM('[1]Summery Report'!#REF!)</f>
        <v>#REF!</v>
      </c>
      <c r="E5" s="80" t="e">
        <f>SUM('[1]Summery Report'!#REF!)</f>
        <v>#REF!</v>
      </c>
      <c r="F5" s="19">
        <v>0.22500000000000001</v>
      </c>
    </row>
    <row r="6" spans="1:6">
      <c r="A6" s="96">
        <f>Gen!B15</f>
        <v>43895</v>
      </c>
      <c r="B6" s="13">
        <f>SUM('[1]Summery Report'!F9)</f>
        <v>5984</v>
      </c>
      <c r="C6" s="119">
        <f>SUM('[1]Summery Report'!C9)</f>
        <v>0.68799999999999994</v>
      </c>
      <c r="D6" s="80" t="e">
        <f>SUM('[1]Summery Report'!#REF!)</f>
        <v>#REF!</v>
      </c>
      <c r="E6" s="80" t="e">
        <f>SUM('[1]Summery Report'!#REF!)</f>
        <v>#REF!</v>
      </c>
      <c r="F6" s="19">
        <v>0.2</v>
      </c>
    </row>
    <row r="7" spans="1:6">
      <c r="A7" s="96">
        <f>Gen!B16</f>
        <v>43896</v>
      </c>
      <c r="B7" s="13">
        <f>SUM('[1]Summery Report'!F10)</f>
        <v>6103</v>
      </c>
      <c r="C7" s="119">
        <f>SUM('[1]Summery Report'!C10)</f>
        <v>0.53200000000000003</v>
      </c>
      <c r="D7" s="80" t="e">
        <f>SUM('[1]Summery Report'!#REF!)</f>
        <v>#REF!</v>
      </c>
      <c r="E7" s="80" t="e">
        <f>SUM('[1]Summery Report'!#REF!)</f>
        <v>#REF!</v>
      </c>
      <c r="F7" s="19">
        <v>0.35</v>
      </c>
    </row>
    <row r="8" spans="1:6">
      <c r="A8" s="96">
        <f>Gen!B17</f>
        <v>43897</v>
      </c>
      <c r="B8" s="13">
        <f>SUM('[1]Summery Report'!F11)</f>
        <v>5576</v>
      </c>
      <c r="C8" s="119">
        <f>SUM('[1]Summery Report'!C11)</f>
        <v>0.753</v>
      </c>
      <c r="D8" s="80" t="e">
        <f>SUM('[1]Summery Report'!#REF!)</f>
        <v>#REF!</v>
      </c>
      <c r="E8" s="80" t="e">
        <f>SUM('[1]Summery Report'!#REF!)</f>
        <v>#REF!</v>
      </c>
      <c r="F8" s="19">
        <v>0.375</v>
      </c>
    </row>
    <row r="9" spans="1:6">
      <c r="A9" s="96">
        <f>Gen!B18</f>
        <v>43898</v>
      </c>
      <c r="B9" s="13">
        <f>SUM('[1]Summery Report'!F12)</f>
        <v>5532</v>
      </c>
      <c r="C9" s="119">
        <f>SUM('[1]Summery Report'!C12)</f>
        <v>0.156</v>
      </c>
      <c r="D9" s="80" t="e">
        <f>SUM('[1]Summery Report'!#REF!)</f>
        <v>#REF!</v>
      </c>
      <c r="E9" s="80" t="e">
        <f>SUM('[1]Summery Report'!#REF!)</f>
        <v>#REF!</v>
      </c>
      <c r="F9" s="19">
        <v>0.32500000000000001</v>
      </c>
    </row>
    <row r="10" spans="1:6">
      <c r="A10" s="96">
        <f>Gen!B19</f>
        <v>43899</v>
      </c>
      <c r="B10" s="13">
        <f>SUM('[1]Summery Report'!F13)</f>
        <v>6233</v>
      </c>
      <c r="C10" s="119">
        <f>SUM('[1]Summery Report'!C13)</f>
        <v>0.442</v>
      </c>
      <c r="D10" s="80" t="e">
        <f>SUM('[1]Summery Report'!#REF!)</f>
        <v>#REF!</v>
      </c>
      <c r="E10" s="80" t="e">
        <f>SUM('[1]Summery Report'!#REF!)</f>
        <v>#REF!</v>
      </c>
      <c r="F10" s="19">
        <v>0.75</v>
      </c>
    </row>
    <row r="11" spans="1:6">
      <c r="A11" s="96">
        <f>Gen!B20</f>
        <v>43900</v>
      </c>
      <c r="B11" s="13">
        <f>SUM('[1]Summery Report'!F14)</f>
        <v>6063</v>
      </c>
      <c r="C11" s="119">
        <f>SUM('[1]Summery Report'!C14)</f>
        <v>0.32500000000000001</v>
      </c>
      <c r="D11" s="80" t="e">
        <f>SUM('[1]Summery Report'!#REF!)</f>
        <v>#REF!</v>
      </c>
      <c r="E11" s="80" t="e">
        <f>SUM('[1]Summery Report'!#REF!)</f>
        <v>#REF!</v>
      </c>
      <c r="F11" s="19">
        <v>0.76249999999999996</v>
      </c>
    </row>
    <row r="12" spans="1:6">
      <c r="A12" s="96">
        <f>Gen!B21</f>
        <v>43901</v>
      </c>
      <c r="B12" s="13">
        <f>SUM('[1]Summery Report'!F15)</f>
        <v>5967</v>
      </c>
      <c r="C12" s="119">
        <f>SUM('[1]Summery Report'!C15)</f>
        <v>0.45500000000000002</v>
      </c>
      <c r="D12" s="80" t="e">
        <f>SUM('[1]Summery Report'!#REF!)</f>
        <v>#REF!</v>
      </c>
      <c r="E12" s="80" t="e">
        <f>SUM('[1]Summery Report'!#REF!)</f>
        <v>#REF!</v>
      </c>
      <c r="F12" s="19">
        <v>0.16250000000000001</v>
      </c>
    </row>
    <row r="13" spans="1:6">
      <c r="A13" s="96">
        <f>Gen!B22</f>
        <v>43902</v>
      </c>
      <c r="B13" s="13">
        <f>SUM('[1]Summery Report'!F16)</f>
        <v>5863</v>
      </c>
      <c r="C13" s="119">
        <f>SUM('[1]Summery Report'!C16)</f>
        <v>0.41599999999999998</v>
      </c>
      <c r="D13" s="80" t="e">
        <f>SUM('[1]Summery Report'!#REF!)</f>
        <v>#REF!</v>
      </c>
      <c r="E13" s="80" t="e">
        <f>SUM('[1]Summery Report'!#REF!)</f>
        <v>#REF!</v>
      </c>
      <c r="F13" s="19">
        <v>0.1125</v>
      </c>
    </row>
    <row r="14" spans="1:6">
      <c r="A14" s="96">
        <f>Gen!B23</f>
        <v>43903</v>
      </c>
      <c r="B14" s="13">
        <f>SUM('[1]Summery Report'!F17)</f>
        <v>5720</v>
      </c>
      <c r="C14" s="119">
        <f>SUM('[1]Summery Report'!C17)</f>
        <v>0.39</v>
      </c>
      <c r="D14" s="80" t="e">
        <f>SUM('[1]Summery Report'!#REF!)</f>
        <v>#REF!</v>
      </c>
      <c r="E14" s="80" t="e">
        <f>SUM('[1]Summery Report'!#REF!)</f>
        <v>#REF!</v>
      </c>
      <c r="F14" s="19">
        <v>3.7499999999999999E-2</v>
      </c>
    </row>
    <row r="15" spans="1:6">
      <c r="A15" s="96">
        <f>Gen!B24</f>
        <v>43904</v>
      </c>
      <c r="B15" s="13">
        <f>SUM('[1]Summery Report'!F18)</f>
        <v>6195</v>
      </c>
      <c r="C15" s="119">
        <f>SUM('[1]Summery Report'!C18)</f>
        <v>0.63600000000000001</v>
      </c>
      <c r="D15" s="80" t="e">
        <f>SUM('[1]Summery Report'!#REF!)</f>
        <v>#REF!</v>
      </c>
      <c r="E15" s="80" t="e">
        <f>SUM('[1]Summery Report'!#REF!)</f>
        <v>#REF!</v>
      </c>
      <c r="F15" s="19">
        <v>0.125</v>
      </c>
    </row>
    <row r="16" spans="1:6">
      <c r="A16" s="96">
        <f>Gen!B25</f>
        <v>43905</v>
      </c>
      <c r="B16" s="13">
        <f>SUM('[1]Summery Report'!F19)</f>
        <v>6450</v>
      </c>
      <c r="C16" s="119">
        <f>SUM('[1]Summery Report'!C19)</f>
        <v>0.84399999999999997</v>
      </c>
      <c r="D16" s="80" t="e">
        <f>SUM('[1]Summery Report'!#REF!)</f>
        <v>#REF!</v>
      </c>
      <c r="E16" s="80" t="e">
        <f>SUM('[1]Summery Report'!#REF!)</f>
        <v>#REF!</v>
      </c>
      <c r="F16" s="19">
        <v>0.125</v>
      </c>
    </row>
    <row r="17" spans="1:6">
      <c r="A17" s="96">
        <f>Gen!B26</f>
        <v>43906</v>
      </c>
      <c r="B17" s="13">
        <f>SUM('[1]Summery Report'!F20)</f>
        <v>6915</v>
      </c>
      <c r="C17" s="119">
        <f>SUM('[1]Summery Report'!C20)</f>
        <v>0.81799999999999995</v>
      </c>
      <c r="D17" s="80" t="e">
        <f>SUM('[1]Summery Report'!#REF!)</f>
        <v>#REF!</v>
      </c>
      <c r="E17" s="80" t="e">
        <f>SUM('[1]Summery Report'!#REF!)</f>
        <v>#REF!</v>
      </c>
      <c r="F17" s="19">
        <v>0.05</v>
      </c>
    </row>
    <row r="18" spans="1:6">
      <c r="A18" s="96">
        <f>Gen!B27</f>
        <v>43907</v>
      </c>
      <c r="B18" s="13">
        <f>SUM('[1]Summery Report'!F21)</f>
        <v>5962</v>
      </c>
      <c r="C18" s="119">
        <f>SUM('[1]Summery Report'!C21)</f>
        <v>0.20799999999999999</v>
      </c>
      <c r="D18" s="80" t="e">
        <f>SUM('[1]Summery Report'!#REF!)</f>
        <v>#REF!</v>
      </c>
      <c r="E18" s="80" t="e">
        <f>SUM('[1]Summery Report'!#REF!)</f>
        <v>#REF!</v>
      </c>
      <c r="F18" s="19">
        <v>0.21249999999999999</v>
      </c>
    </row>
    <row r="19" spans="1:6">
      <c r="A19" s="96">
        <f>Gen!B28</f>
        <v>43908</v>
      </c>
      <c r="B19" s="13">
        <f>SUM('[1]Summery Report'!F22)</f>
        <v>5257</v>
      </c>
      <c r="C19" s="119">
        <f>SUM('[1]Summery Report'!C22)</f>
        <v>0.221</v>
      </c>
      <c r="D19" s="80" t="e">
        <f>SUM('[1]Summery Report'!#REF!)</f>
        <v>#REF!</v>
      </c>
      <c r="E19" s="80" t="e">
        <f>SUM('[1]Summery Report'!#REF!)</f>
        <v>#REF!</v>
      </c>
      <c r="F19" s="19">
        <v>0.1125</v>
      </c>
    </row>
    <row r="20" spans="1:6">
      <c r="A20" s="96">
        <f>Gen!B29</f>
        <v>43909</v>
      </c>
      <c r="B20" s="13">
        <f>SUM('[1]Summery Report'!F23)</f>
        <v>4691</v>
      </c>
      <c r="C20" s="119">
        <f>SUM('[1]Summery Report'!C23)</f>
        <v>0.11700000000000001</v>
      </c>
      <c r="D20" s="80" t="e">
        <f>SUM('[1]Summery Report'!#REF!)</f>
        <v>#REF!</v>
      </c>
      <c r="E20" s="80" t="e">
        <f>SUM('[1]Summery Report'!#REF!)</f>
        <v>#REF!</v>
      </c>
      <c r="F20" s="19">
        <v>0.13750000000000001</v>
      </c>
    </row>
    <row r="21" spans="1:6">
      <c r="A21" s="96">
        <f>Gen!B30</f>
        <v>43910</v>
      </c>
      <c r="B21" s="13">
        <f>SUM('[1]Summery Report'!F24)</f>
        <v>5712</v>
      </c>
      <c r="C21" s="119">
        <f>SUM('[1]Summery Report'!C24)</f>
        <v>0.57099999999999995</v>
      </c>
      <c r="D21" s="80" t="e">
        <f>SUM('[1]Summery Report'!#REF!)</f>
        <v>#REF!</v>
      </c>
      <c r="E21" s="80" t="e">
        <f>SUM('[1]Summery Report'!#REF!)</f>
        <v>#REF!</v>
      </c>
      <c r="F21" s="19">
        <v>0.15</v>
      </c>
    </row>
    <row r="22" spans="1:6">
      <c r="A22" s="96">
        <f>Gen!B31</f>
        <v>43911</v>
      </c>
      <c r="B22" s="13">
        <f>SUM('[1]Summery Report'!F25)</f>
        <v>5941</v>
      </c>
      <c r="C22" s="119">
        <f>SUM('[1]Summery Report'!C25)</f>
        <v>0.55800000000000005</v>
      </c>
      <c r="D22" s="80" t="e">
        <f>SUM('[1]Summery Report'!#REF!)</f>
        <v>#REF!</v>
      </c>
      <c r="E22" s="80" t="e">
        <f>SUM('[1]Summery Report'!#REF!)</f>
        <v>#REF!</v>
      </c>
      <c r="F22" s="19">
        <v>0.13750000000000001</v>
      </c>
    </row>
    <row r="23" spans="1:6">
      <c r="A23" s="96">
        <f>Gen!B32</f>
        <v>43912</v>
      </c>
      <c r="B23" s="13">
        <f>SUM('[1]Summery Report'!F26)</f>
        <v>5400</v>
      </c>
      <c r="C23" s="119">
        <f>SUM('[1]Summery Report'!C26)</f>
        <v>0.40300000000000002</v>
      </c>
      <c r="D23" s="80" t="e">
        <f>SUM('[1]Summery Report'!#REF!)</f>
        <v>#REF!</v>
      </c>
      <c r="E23" s="80" t="e">
        <f>SUM('[1]Summery Report'!#REF!)</f>
        <v>#REF!</v>
      </c>
      <c r="F23" s="19">
        <v>0</v>
      </c>
    </row>
    <row r="24" spans="1:6">
      <c r="A24" s="96">
        <f>Gen!B33</f>
        <v>43913</v>
      </c>
      <c r="B24" s="13">
        <f>SUM('[1]Summery Report'!F27)</f>
        <v>5371</v>
      </c>
      <c r="C24" s="119">
        <f>SUM('[1]Summery Report'!C27)</f>
        <v>0.24</v>
      </c>
      <c r="D24" s="80" t="e">
        <f>SUM('[1]Summery Report'!#REF!)</f>
        <v>#REF!</v>
      </c>
      <c r="E24" s="80" t="e">
        <f>SUM('[1]Summery Report'!#REF!)</f>
        <v>#REF!</v>
      </c>
      <c r="F24" s="19">
        <v>0.05</v>
      </c>
    </row>
    <row r="25" spans="1:6">
      <c r="A25" s="96">
        <f>Gen!B34</f>
        <v>43914</v>
      </c>
      <c r="B25" s="13">
        <f>SUM('[1]Summery Report'!F28)</f>
        <v>5296</v>
      </c>
      <c r="C25" s="119">
        <f>SUM('[1]Summery Report'!C28)</f>
        <v>0.09</v>
      </c>
      <c r="D25" s="80" t="e">
        <f>SUM('[1]Summery Report'!#REF!)</f>
        <v>#REF!</v>
      </c>
      <c r="E25" s="80" t="e">
        <f>SUM('[1]Summery Report'!#REF!)</f>
        <v>#REF!</v>
      </c>
      <c r="F25" s="19">
        <v>0.1125</v>
      </c>
    </row>
    <row r="26" spans="1:6">
      <c r="A26" s="96">
        <f>Gen!B35</f>
        <v>43915</v>
      </c>
      <c r="B26" s="13">
        <f>SUM('[1]Summery Report'!F29)</f>
        <v>5221</v>
      </c>
      <c r="C26" s="119">
        <f>SUM('[1]Summery Report'!C29)</f>
        <v>0.28599999999999998</v>
      </c>
      <c r="D26" s="80" t="e">
        <f>SUM('[1]Summery Report'!#REF!)</f>
        <v>#REF!</v>
      </c>
      <c r="E26" s="80" t="e">
        <f>SUM('[1]Summery Report'!#REF!)</f>
        <v>#REF!</v>
      </c>
      <c r="F26" s="19">
        <v>0.125</v>
      </c>
    </row>
    <row r="27" spans="1:6">
      <c r="A27" s="96">
        <f>Gen!B36</f>
        <v>43916</v>
      </c>
      <c r="B27" s="13">
        <f>SUM('[1]Summery Report'!F30)</f>
        <v>5665</v>
      </c>
      <c r="C27" s="119">
        <f>SUM('[1]Summery Report'!C30)</f>
        <v>0.54500000000000004</v>
      </c>
      <c r="D27" s="80" t="e">
        <f>SUM('[1]Summery Report'!#REF!)</f>
        <v>#REF!</v>
      </c>
      <c r="E27" s="80" t="e">
        <f>SUM('[1]Summery Report'!#REF!)</f>
        <v>#REF!</v>
      </c>
      <c r="F27" s="19">
        <v>0.17499999999999999</v>
      </c>
    </row>
    <row r="28" spans="1:6">
      <c r="A28" s="96">
        <f>Gen!B37</f>
        <v>43917</v>
      </c>
      <c r="B28" s="13">
        <f>SUM('[1]Summery Report'!F31)</f>
        <v>6109</v>
      </c>
      <c r="C28" s="119">
        <f>SUM('[1]Summery Report'!C31)</f>
        <v>0.67500000000000004</v>
      </c>
      <c r="D28" s="80" t="e">
        <f>SUM('[1]Summery Report'!#REF!)</f>
        <v>#REF!</v>
      </c>
      <c r="E28" s="80" t="e">
        <f>SUM('[1]Summery Report'!#REF!)</f>
        <v>#REF!</v>
      </c>
      <c r="F28" s="19">
        <v>0.125</v>
      </c>
    </row>
    <row r="29" spans="1:6">
      <c r="A29" s="96">
        <f>Gen!B38</f>
        <v>43918</v>
      </c>
      <c r="B29" s="13">
        <f>SUM('[1]Summery Report'!F32)</f>
        <v>0</v>
      </c>
      <c r="C29" s="119">
        <f>SUM('[1]Summery Report'!C32)</f>
        <v>0.27300000000000002</v>
      </c>
      <c r="D29" s="80" t="e">
        <f>SUM('[1]Summery Report'!#REF!)</f>
        <v>#REF!</v>
      </c>
      <c r="E29" s="80" t="e">
        <f>SUM('[1]Summery Report'!#REF!)</f>
        <v>#REF!</v>
      </c>
      <c r="F29" s="19">
        <v>7.4999999999999997E-2</v>
      </c>
    </row>
    <row r="30" spans="1:6">
      <c r="A30" s="96">
        <f>Gen!B39</f>
        <v>43919</v>
      </c>
      <c r="B30" s="13">
        <f>SUM('[1]Summery Report'!F33)</f>
        <v>0</v>
      </c>
      <c r="C30" s="119">
        <f>SUM('[1]Summery Report'!C33)</f>
        <v>0</v>
      </c>
      <c r="D30" s="80" t="e">
        <f>SUM('[1]Summery Report'!#REF!)</f>
        <v>#REF!</v>
      </c>
      <c r="E30" s="80" t="e">
        <f>SUM('[1]Summery Report'!#REF!)</f>
        <v>#REF!</v>
      </c>
      <c r="F30" s="19">
        <v>0.1125</v>
      </c>
    </row>
    <row r="31" spans="1:6">
      <c r="A31" s="96">
        <f>Gen!B40</f>
        <v>43920</v>
      </c>
      <c r="B31" s="13">
        <f>SUM('[1]Summery Report'!F34)</f>
        <v>0</v>
      </c>
      <c r="C31" s="119">
        <f>SUM('[1]Summery Report'!C34)</f>
        <v>0</v>
      </c>
      <c r="D31" s="80" t="e">
        <f>SUM('[1]Summery Report'!#REF!)</f>
        <v>#REF!</v>
      </c>
      <c r="E31" s="80" t="e">
        <f>SUM('[1]Summery Report'!#REF!)</f>
        <v>#REF!</v>
      </c>
      <c r="F31" s="19">
        <v>0.15</v>
      </c>
    </row>
    <row r="32" spans="1:6">
      <c r="A32" s="96">
        <f>Gen!B41</f>
        <v>43921</v>
      </c>
      <c r="B32" s="13">
        <f>SUM('[1]Summery Report'!F35)</f>
        <v>0</v>
      </c>
      <c r="C32" s="119">
        <f>SUM('[1]Summery Report'!C35)</f>
        <v>0</v>
      </c>
      <c r="D32" s="80" t="e">
        <f>SUM('[1]Summery Report'!#REF!)</f>
        <v>#REF!</v>
      </c>
      <c r="E32" s="80" t="e">
        <f>SUM('[1]Summery Report'!#REF!)</f>
        <v>#REF!</v>
      </c>
      <c r="F32" s="19">
        <v>0.17499999999999999</v>
      </c>
    </row>
    <row r="33" spans="1:2">
      <c r="A33" s="96">
        <f>Gen!B42</f>
        <v>43922</v>
      </c>
      <c r="B33" s="13">
        <f>[1]Gen!S41</f>
        <v>0</v>
      </c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65"/>
  <sheetViews>
    <sheetView topLeftCell="A37" zoomScale="70" zoomScaleNormal="70" workbookViewId="0">
      <selection activeCell="M65" sqref="M65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5" customWidth="1"/>
    <col min="8" max="8" width="23.5703125" customWidth="1"/>
    <col min="9" max="9" width="17.5703125" customWidth="1"/>
    <col min="10" max="10" width="18.5703125" style="93" customWidth="1"/>
  </cols>
  <sheetData>
    <row r="1" spans="1:15" ht="15">
      <c r="A1" s="32"/>
      <c r="B1" s="35"/>
      <c r="C1" s="36"/>
      <c r="D1" s="35"/>
      <c r="E1" s="35"/>
      <c r="F1" s="37"/>
      <c r="G1" s="99"/>
      <c r="H1" s="35"/>
      <c r="I1" s="35"/>
      <c r="J1" s="114"/>
    </row>
    <row r="2" spans="1:15" ht="15">
      <c r="A2" s="33"/>
      <c r="B2" s="38"/>
      <c r="C2" s="39"/>
      <c r="D2" s="40"/>
      <c r="E2" s="40"/>
      <c r="F2" s="41"/>
      <c r="G2" s="103"/>
      <c r="H2" s="38"/>
      <c r="I2" s="38"/>
      <c r="J2" s="115"/>
    </row>
    <row r="3" spans="1:15" ht="22.5">
      <c r="A3" s="33"/>
      <c r="B3" s="38"/>
      <c r="C3" s="741" t="s">
        <v>71</v>
      </c>
      <c r="D3" s="742"/>
      <c r="E3" s="742"/>
      <c r="F3" s="743"/>
      <c r="G3" s="744"/>
      <c r="H3" s="42"/>
      <c r="I3" s="42"/>
      <c r="J3" s="116"/>
    </row>
    <row r="4" spans="1:15" ht="15">
      <c r="A4" s="33"/>
      <c r="B4" s="38"/>
      <c r="C4" s="39"/>
      <c r="D4" s="40"/>
      <c r="E4" s="40"/>
      <c r="F4" s="50"/>
      <c r="G4" s="103"/>
      <c r="H4" s="38"/>
      <c r="I4" s="38"/>
      <c r="J4" s="115"/>
    </row>
    <row r="5" spans="1:15" ht="15">
      <c r="A5" s="31"/>
      <c r="B5" s="43"/>
      <c r="C5" s="44"/>
      <c r="D5" s="43"/>
      <c r="E5" s="43"/>
      <c r="F5" s="45"/>
      <c r="G5" s="103"/>
      <c r="H5" s="38"/>
      <c r="I5" s="38"/>
      <c r="J5" s="117"/>
    </row>
    <row r="6" spans="1:15" ht="13.5" customHeight="1">
      <c r="A6" s="5"/>
      <c r="B6" s="46"/>
      <c r="C6" s="837"/>
      <c r="D6" s="838"/>
      <c r="E6" s="839"/>
      <c r="F6" s="839"/>
      <c r="G6" s="49" t="s">
        <v>4</v>
      </c>
      <c r="H6" s="47" t="s">
        <v>14</v>
      </c>
      <c r="I6" s="42"/>
      <c r="J6" s="115"/>
    </row>
    <row r="7" spans="1:15" ht="18" customHeight="1">
      <c r="A7" s="840" t="s">
        <v>7</v>
      </c>
      <c r="B7" s="101" t="s">
        <v>73</v>
      </c>
      <c r="C7" s="100" t="s">
        <v>74</v>
      </c>
      <c r="D7" s="101" t="s">
        <v>75</v>
      </c>
      <c r="E7" s="104"/>
      <c r="F7" s="105" t="s">
        <v>37</v>
      </c>
      <c r="G7" s="106" t="s">
        <v>13</v>
      </c>
      <c r="H7" s="186" t="s">
        <v>12</v>
      </c>
      <c r="I7" s="107" t="s">
        <v>11</v>
      </c>
      <c r="J7" s="48" t="s">
        <v>10</v>
      </c>
    </row>
    <row r="8" spans="1:15" ht="18" customHeight="1">
      <c r="A8" s="841"/>
      <c r="B8" s="383" t="s">
        <v>60</v>
      </c>
      <c r="C8" s="101" t="s">
        <v>36</v>
      </c>
      <c r="D8" s="102" t="s">
        <v>59</v>
      </c>
      <c r="E8" s="109"/>
      <c r="F8" s="112" t="s">
        <v>16</v>
      </c>
      <c r="G8" s="110" t="s">
        <v>72</v>
      </c>
      <c r="H8" s="108" t="s">
        <v>1</v>
      </c>
      <c r="I8" s="111" t="s">
        <v>9</v>
      </c>
      <c r="J8" s="48" t="s">
        <v>8</v>
      </c>
    </row>
    <row r="9" spans="1:15" ht="18.75">
      <c r="A9" s="324"/>
      <c r="B9" s="353"/>
      <c r="C9" s="353"/>
      <c r="D9" s="353"/>
      <c r="E9" s="353"/>
      <c r="F9" s="353">
        <v>70372</v>
      </c>
      <c r="G9" s="353"/>
      <c r="H9" s="34"/>
      <c r="I9" s="21"/>
      <c r="J9" s="118"/>
      <c r="N9" s="187"/>
      <c r="O9" s="187"/>
    </row>
    <row r="10" spans="1:15" ht="18.75">
      <c r="A10" s="97">
        <f>Gen!B11</f>
        <v>43891</v>
      </c>
      <c r="B10" s="353">
        <v>62</v>
      </c>
      <c r="C10" s="353">
        <v>0</v>
      </c>
      <c r="D10" s="353">
        <v>0</v>
      </c>
      <c r="E10" s="353"/>
      <c r="F10" s="353">
        <v>70399.97</v>
      </c>
      <c r="G10" s="353">
        <f t="shared" ref="G10:G42" si="0">(F10-F9)*4.4</f>
        <v>123.06800000000513</v>
      </c>
      <c r="H10" s="113">
        <f>Gen!C11</f>
        <v>0.57140000000000002</v>
      </c>
      <c r="I10" s="6">
        <f>SUM(F10/H10)</f>
        <v>123206.10780539026</v>
      </c>
      <c r="J10" s="118">
        <f t="shared" ref="J10:J40" si="1">SUM(G10/I10)</f>
        <v>9.9887905065872812E-4</v>
      </c>
      <c r="N10" s="187"/>
      <c r="O10" s="187"/>
    </row>
    <row r="11" spans="1:15" ht="18.75">
      <c r="A11" s="97">
        <f>Gen!B12</f>
        <v>43892</v>
      </c>
      <c r="B11" s="353">
        <v>59</v>
      </c>
      <c r="C11" s="353">
        <v>0</v>
      </c>
      <c r="D11" s="353">
        <v>0</v>
      </c>
      <c r="E11" s="353"/>
      <c r="F11" s="353">
        <v>70437.759999999995</v>
      </c>
      <c r="G11" s="353">
        <f t="shared" si="0"/>
        <v>166.27599999997184</v>
      </c>
      <c r="H11" s="113">
        <f>Gen!C12</f>
        <v>0.2208</v>
      </c>
      <c r="I11" s="6">
        <f t="shared" ref="I11:I28" si="2">SUM(F11/H11)</f>
        <v>319011.59420289856</v>
      </c>
      <c r="J11" s="118">
        <f t="shared" si="1"/>
        <v>5.2122243523919246E-4</v>
      </c>
      <c r="M11" s="187"/>
      <c r="N11" s="187"/>
    </row>
    <row r="12" spans="1:15" ht="18.75">
      <c r="A12" s="97">
        <f>Gen!B13</f>
        <v>43893</v>
      </c>
      <c r="B12" s="353">
        <v>57</v>
      </c>
      <c r="C12" s="353">
        <v>85</v>
      </c>
      <c r="D12" s="353">
        <v>85</v>
      </c>
      <c r="E12" s="353"/>
      <c r="F12" s="353">
        <v>70462.44</v>
      </c>
      <c r="G12" s="353">
        <f t="shared" si="0"/>
        <v>108.59200000003331</v>
      </c>
      <c r="H12" s="113">
        <f>Gen!C13</f>
        <v>0.1429</v>
      </c>
      <c r="I12" s="6">
        <f t="shared" si="2"/>
        <v>493089.15325402381</v>
      </c>
      <c r="J12" s="118">
        <f t="shared" si="1"/>
        <v>2.2022792284804159E-4</v>
      </c>
      <c r="M12" s="187"/>
      <c r="N12" s="187"/>
    </row>
    <row r="13" spans="1:15" ht="18.75">
      <c r="A13" s="97">
        <f>Gen!B14</f>
        <v>43894</v>
      </c>
      <c r="B13" s="353">
        <v>55</v>
      </c>
      <c r="C13" s="353">
        <v>85</v>
      </c>
      <c r="D13" s="353">
        <v>85</v>
      </c>
      <c r="E13" s="353">
        <v>85</v>
      </c>
      <c r="F13" s="353">
        <v>70486.44</v>
      </c>
      <c r="G13" s="353">
        <f t="shared" si="0"/>
        <v>105.60000000000001</v>
      </c>
      <c r="H13" s="113">
        <f>Gen!C14</f>
        <v>1</v>
      </c>
      <c r="I13" s="6">
        <f t="shared" si="2"/>
        <v>70486.44</v>
      </c>
      <c r="J13" s="118">
        <f t="shared" si="1"/>
        <v>1.4981604972530886E-3</v>
      </c>
      <c r="M13" s="187"/>
      <c r="N13" s="187"/>
    </row>
    <row r="14" spans="1:15" ht="18.75">
      <c r="A14" s="97">
        <f>Gen!B15</f>
        <v>43895</v>
      </c>
      <c r="B14" s="353">
        <v>52</v>
      </c>
      <c r="C14" s="353">
        <v>85</v>
      </c>
      <c r="D14" s="353">
        <v>85</v>
      </c>
      <c r="E14" s="353">
        <v>85</v>
      </c>
      <c r="F14" s="353">
        <v>70510.039999999994</v>
      </c>
      <c r="G14" s="353">
        <f t="shared" si="0"/>
        <v>103.83999999996159</v>
      </c>
      <c r="H14" s="113">
        <f>Gen!C15</f>
        <v>1</v>
      </c>
      <c r="I14" s="6">
        <f t="shared" si="2"/>
        <v>70510.039999999994</v>
      </c>
      <c r="J14" s="118">
        <f t="shared" si="1"/>
        <v>1.4726980725009034E-3</v>
      </c>
      <c r="M14" s="187"/>
      <c r="N14" s="187"/>
    </row>
    <row r="15" spans="1:15" ht="18.75">
      <c r="A15" s="97">
        <f>Gen!B16</f>
        <v>43896</v>
      </c>
      <c r="B15" s="353">
        <v>49</v>
      </c>
      <c r="C15" s="353">
        <v>85</v>
      </c>
      <c r="D15" s="353">
        <v>85</v>
      </c>
      <c r="E15" s="353"/>
      <c r="F15" s="353">
        <v>70529.89</v>
      </c>
      <c r="G15" s="353">
        <f t="shared" si="0"/>
        <v>87.340000000025611</v>
      </c>
      <c r="H15" s="113">
        <f>Gen!C16</f>
        <v>1</v>
      </c>
      <c r="I15" s="6">
        <f t="shared" si="2"/>
        <v>70529.89</v>
      </c>
      <c r="J15" s="118">
        <f t="shared" si="1"/>
        <v>1.238340227101242E-3</v>
      </c>
      <c r="M15" s="187"/>
      <c r="N15" s="187"/>
    </row>
    <row r="16" spans="1:15" ht="18.75">
      <c r="A16" s="97">
        <f>Gen!B17</f>
        <v>43897</v>
      </c>
      <c r="B16" s="353">
        <v>46</v>
      </c>
      <c r="C16" s="353">
        <v>85</v>
      </c>
      <c r="D16" s="353">
        <v>85</v>
      </c>
      <c r="E16" s="353"/>
      <c r="F16" s="353">
        <v>70553.75</v>
      </c>
      <c r="G16" s="353">
        <f t="shared" si="0"/>
        <v>104.98400000000257</v>
      </c>
      <c r="H16" s="113">
        <f>Gen!C17</f>
        <v>1</v>
      </c>
      <c r="I16" s="6">
        <f t="shared" si="2"/>
        <v>70553.75</v>
      </c>
      <c r="J16" s="118">
        <f t="shared" si="1"/>
        <v>1.4880002834718575E-3</v>
      </c>
      <c r="M16" s="187"/>
      <c r="N16" s="187"/>
    </row>
    <row r="17" spans="1:14" ht="18.75">
      <c r="A17" s="97">
        <f>Gen!B18</f>
        <v>43898</v>
      </c>
      <c r="B17" s="353">
        <v>43</v>
      </c>
      <c r="C17" s="353">
        <v>85</v>
      </c>
      <c r="D17" s="353">
        <v>85</v>
      </c>
      <c r="E17" s="353"/>
      <c r="F17" s="353">
        <v>70581.88</v>
      </c>
      <c r="G17" s="353">
        <f t="shared" si="0"/>
        <v>123.7720000000205</v>
      </c>
      <c r="H17" s="113">
        <f>Gen!C18</f>
        <v>0.59740000000000004</v>
      </c>
      <c r="I17" s="6">
        <f t="shared" si="2"/>
        <v>118148.4432541011</v>
      </c>
      <c r="J17" s="118">
        <f t="shared" si="1"/>
        <v>1.0475973833512545E-3</v>
      </c>
      <c r="M17" s="187"/>
      <c r="N17" s="187"/>
    </row>
    <row r="18" spans="1:14" ht="18.75">
      <c r="A18" s="97">
        <f>Gen!B19</f>
        <v>43899</v>
      </c>
      <c r="B18" s="353">
        <v>40</v>
      </c>
      <c r="C18" s="353">
        <v>85</v>
      </c>
      <c r="D18" s="353">
        <v>85</v>
      </c>
      <c r="E18" s="353"/>
      <c r="F18" s="353">
        <v>70604.44</v>
      </c>
      <c r="G18" s="353">
        <f t="shared" si="0"/>
        <v>99.263999999989764</v>
      </c>
      <c r="H18" s="113">
        <f>Gen!C19</f>
        <v>0.57140000000000002</v>
      </c>
      <c r="I18" s="6">
        <f t="shared" si="2"/>
        <v>123563.94819740987</v>
      </c>
      <c r="J18" s="118">
        <f t="shared" si="1"/>
        <v>8.0334111565779926E-4</v>
      </c>
      <c r="M18" s="187"/>
      <c r="N18" s="187"/>
    </row>
    <row r="19" spans="1:14" ht="18.75">
      <c r="A19" s="97">
        <f>Gen!B20</f>
        <v>43900</v>
      </c>
      <c r="B19" s="353">
        <v>40</v>
      </c>
      <c r="C19" s="353">
        <v>85</v>
      </c>
      <c r="D19" s="353">
        <v>82</v>
      </c>
      <c r="E19" s="353"/>
      <c r="F19" s="353">
        <v>70628.2</v>
      </c>
      <c r="G19" s="353">
        <f t="shared" si="0"/>
        <v>104.54399999997696</v>
      </c>
      <c r="H19" s="113">
        <f>Gen!C20</f>
        <v>0.58440000000000003</v>
      </c>
      <c r="I19" s="6">
        <f t="shared" si="2"/>
        <v>120855.92060232717</v>
      </c>
      <c r="J19" s="118">
        <f t="shared" si="1"/>
        <v>8.6503002483408241E-4</v>
      </c>
      <c r="M19" s="187"/>
      <c r="N19" s="187"/>
    </row>
    <row r="20" spans="1:14" ht="18.75">
      <c r="A20" s="97">
        <f>Gen!B21</f>
        <v>43901</v>
      </c>
      <c r="B20" s="353">
        <v>40</v>
      </c>
      <c r="C20" s="353">
        <v>85</v>
      </c>
      <c r="D20" s="353">
        <v>80</v>
      </c>
      <c r="E20" s="353"/>
      <c r="F20" s="353">
        <v>70651.67</v>
      </c>
      <c r="G20" s="353">
        <f t="shared" si="0"/>
        <v>103.26800000000513</v>
      </c>
      <c r="H20" s="113">
        <f>Gen!C21</f>
        <v>3.9E-2</v>
      </c>
      <c r="I20" s="6">
        <f t="shared" si="2"/>
        <v>1811581.282051282</v>
      </c>
      <c r="J20" s="118">
        <f t="shared" si="1"/>
        <v>5.7004342572513859E-5</v>
      </c>
    </row>
    <row r="21" spans="1:14" ht="18.75">
      <c r="A21" s="97">
        <f>Gen!B22</f>
        <v>43902</v>
      </c>
      <c r="B21" s="353">
        <v>40</v>
      </c>
      <c r="C21" s="353">
        <v>85</v>
      </c>
      <c r="D21" s="353">
        <v>78</v>
      </c>
      <c r="E21" s="353"/>
      <c r="F21" s="353">
        <v>70670.899999999994</v>
      </c>
      <c r="G21" s="353">
        <f t="shared" si="0"/>
        <v>84.611999999982075</v>
      </c>
      <c r="H21" s="113">
        <f>Gen!C22</f>
        <v>3.9E-2</v>
      </c>
      <c r="I21" s="6">
        <f t="shared" si="2"/>
        <v>1812074.3589743588</v>
      </c>
      <c r="J21" s="118">
        <f t="shared" si="1"/>
        <v>4.6693448081166384E-5</v>
      </c>
    </row>
    <row r="22" spans="1:14" ht="18.75">
      <c r="A22" s="97">
        <f>Gen!B23</f>
        <v>43903</v>
      </c>
      <c r="B22" s="353">
        <v>40</v>
      </c>
      <c r="C22" s="353">
        <v>85</v>
      </c>
      <c r="D22" s="353">
        <v>75</v>
      </c>
      <c r="E22" s="353">
        <v>75</v>
      </c>
      <c r="F22" s="353">
        <v>70694.100000000006</v>
      </c>
      <c r="G22" s="353">
        <f t="shared" si="0"/>
        <v>102.08000000005123</v>
      </c>
      <c r="H22" s="113">
        <f>Gen!C23</f>
        <v>3.9E-2</v>
      </c>
      <c r="I22" s="6">
        <f t="shared" si="2"/>
        <v>1812669.230769231</v>
      </c>
      <c r="J22" s="118">
        <f t="shared" si="1"/>
        <v>5.6314741965765144E-5</v>
      </c>
    </row>
    <row r="23" spans="1:14" ht="18.75">
      <c r="A23" s="97">
        <f>Gen!B24</f>
        <v>43904</v>
      </c>
      <c r="B23" s="353">
        <v>37</v>
      </c>
      <c r="C23" s="353">
        <v>85</v>
      </c>
      <c r="D23" s="353">
        <v>75</v>
      </c>
      <c r="E23" s="353">
        <v>75</v>
      </c>
      <c r="F23" s="353">
        <v>70714.399999999994</v>
      </c>
      <c r="G23" s="353">
        <f t="shared" si="0"/>
        <v>89.319999999948791</v>
      </c>
      <c r="H23" s="113">
        <f>Gen!C24</f>
        <v>2.86E-2</v>
      </c>
      <c r="I23" s="6">
        <f t="shared" si="2"/>
        <v>2472531.4685314684</v>
      </c>
      <c r="J23" s="118">
        <f t="shared" si="1"/>
        <v>3.6124919394048959E-5</v>
      </c>
    </row>
    <row r="24" spans="1:14" ht="18.75">
      <c r="A24" s="97">
        <f>Gen!B25</f>
        <v>43905</v>
      </c>
      <c r="B24" s="353">
        <v>35</v>
      </c>
      <c r="C24" s="353">
        <v>85</v>
      </c>
      <c r="D24" s="353">
        <v>85</v>
      </c>
      <c r="E24" s="353"/>
      <c r="F24" s="353">
        <v>70753.86</v>
      </c>
      <c r="G24" s="353">
        <f t="shared" si="0"/>
        <v>173.62400000002819</v>
      </c>
      <c r="H24" s="113">
        <f>Gen!C25</f>
        <v>6.4899999999999999E-2</v>
      </c>
      <c r="I24" s="6">
        <f t="shared" si="2"/>
        <v>1090198.1510015409</v>
      </c>
      <c r="J24" s="118">
        <f t="shared" si="1"/>
        <v>1.5925912169317445E-4</v>
      </c>
    </row>
    <row r="25" spans="1:14" ht="18.75">
      <c r="A25" s="97">
        <f>Gen!B26</f>
        <v>43906</v>
      </c>
      <c r="B25" s="353">
        <v>32</v>
      </c>
      <c r="C25" s="353">
        <v>85</v>
      </c>
      <c r="D25" s="353">
        <v>85</v>
      </c>
      <c r="E25" s="353"/>
      <c r="F25" s="353">
        <v>70773.11</v>
      </c>
      <c r="G25" s="353">
        <f t="shared" si="0"/>
        <v>84.7</v>
      </c>
      <c r="H25" s="113">
        <f>Gen!C26</f>
        <v>5.1900000000000002E-2</v>
      </c>
      <c r="I25" s="6">
        <f t="shared" si="2"/>
        <v>1363643.7379576107</v>
      </c>
      <c r="J25" s="118">
        <f t="shared" si="1"/>
        <v>6.211299743645574E-5</v>
      </c>
    </row>
    <row r="26" spans="1:14" ht="18.75">
      <c r="A26" s="97">
        <f>Gen!B27</f>
        <v>43907</v>
      </c>
      <c r="B26" s="353">
        <v>31</v>
      </c>
      <c r="C26" s="353">
        <v>85</v>
      </c>
      <c r="D26" s="353">
        <v>66</v>
      </c>
      <c r="E26" s="353"/>
      <c r="F26" s="353">
        <v>70791.3</v>
      </c>
      <c r="G26" s="353">
        <f t="shared" si="0"/>
        <v>80.036000000010247</v>
      </c>
      <c r="H26" s="113">
        <f>Gen!C27</f>
        <v>2.5999999999999999E-2</v>
      </c>
      <c r="I26" s="6">
        <f t="shared" si="2"/>
        <v>2722742.307692308</v>
      </c>
      <c r="J26" s="118">
        <f t="shared" si="1"/>
        <v>2.9395363554564843E-5</v>
      </c>
    </row>
    <row r="27" spans="1:14" ht="18.75">
      <c r="A27" s="97">
        <f>Gen!B28</f>
        <v>43908</v>
      </c>
      <c r="B27" s="353">
        <v>30</v>
      </c>
      <c r="C27" s="353">
        <v>85</v>
      </c>
      <c r="D27" s="353">
        <v>66</v>
      </c>
      <c r="E27" s="353"/>
      <c r="F27" s="353">
        <v>70809.41</v>
      </c>
      <c r="G27" s="353">
        <f t="shared" si="0"/>
        <v>79.68400000000257</v>
      </c>
      <c r="H27" s="113">
        <f>Gen!C28</f>
        <v>5.1900000000000002E-2</v>
      </c>
      <c r="I27" s="6">
        <f t="shared" si="2"/>
        <v>1364343.1599229288</v>
      </c>
      <c r="J27" s="118">
        <f t="shared" si="1"/>
        <v>5.8404661188394778E-5</v>
      </c>
    </row>
    <row r="28" spans="1:14" ht="18.75">
      <c r="A28" s="97">
        <f>Gen!B29</f>
        <v>43909</v>
      </c>
      <c r="B28" s="353">
        <v>29</v>
      </c>
      <c r="C28" s="353">
        <v>85</v>
      </c>
      <c r="D28" s="353">
        <v>66</v>
      </c>
      <c r="E28" s="353"/>
      <c r="F28" s="353">
        <v>70825</v>
      </c>
      <c r="G28" s="353">
        <f t="shared" si="0"/>
        <v>68.595999999984642</v>
      </c>
      <c r="H28" s="113">
        <f>Gen!C29</f>
        <v>0.02</v>
      </c>
      <c r="I28" s="6">
        <f t="shared" si="2"/>
        <v>3541250</v>
      </c>
      <c r="J28" s="118">
        <f t="shared" si="1"/>
        <v>1.9370561242494779E-5</v>
      </c>
    </row>
    <row r="29" spans="1:14" ht="18.75">
      <c r="A29" s="97">
        <f>Gen!B30</f>
        <v>43910</v>
      </c>
      <c r="B29" s="353">
        <v>28</v>
      </c>
      <c r="C29" s="353">
        <v>85</v>
      </c>
      <c r="D29" s="353">
        <v>66</v>
      </c>
      <c r="E29" s="353"/>
      <c r="F29" s="353">
        <v>70843.47</v>
      </c>
      <c r="G29" s="353">
        <f t="shared" si="0"/>
        <v>81.268000000005131</v>
      </c>
      <c r="H29" s="113">
        <f>Gen!C30</f>
        <v>0.02</v>
      </c>
      <c r="I29" s="6">
        <f t="shared" ref="I29:I41" si="3">SUM(F29/H29)</f>
        <v>3542173.5</v>
      </c>
      <c r="J29" s="118">
        <f t="shared" si="1"/>
        <v>2.2942975548771151E-5</v>
      </c>
    </row>
    <row r="30" spans="1:14" ht="18.75">
      <c r="A30" s="97">
        <f>Gen!B31</f>
        <v>43911</v>
      </c>
      <c r="B30" s="353">
        <v>27</v>
      </c>
      <c r="C30" s="353">
        <v>85</v>
      </c>
      <c r="D30" s="353">
        <v>66</v>
      </c>
      <c r="E30" s="353"/>
      <c r="F30" s="353">
        <v>70854.539999999994</v>
      </c>
      <c r="G30" s="353">
        <f t="shared" si="0"/>
        <v>48.707999999966709</v>
      </c>
      <c r="H30" s="113">
        <f>Gen!C31</f>
        <v>0</v>
      </c>
      <c r="I30" s="6" t="e">
        <f t="shared" si="3"/>
        <v>#DIV/0!</v>
      </c>
      <c r="J30" s="118" t="e">
        <f t="shared" si="1"/>
        <v>#DIV/0!</v>
      </c>
    </row>
    <row r="31" spans="1:14" ht="18.75">
      <c r="A31" s="97">
        <f>Gen!B32</f>
        <v>43912</v>
      </c>
      <c r="B31" s="353">
        <v>26</v>
      </c>
      <c r="C31" s="353">
        <v>85</v>
      </c>
      <c r="D31" s="353">
        <v>66</v>
      </c>
      <c r="E31" s="353"/>
      <c r="F31" s="353">
        <v>70865.3</v>
      </c>
      <c r="G31" s="353">
        <f t="shared" si="0"/>
        <v>47.344000000040985</v>
      </c>
      <c r="H31" s="113">
        <f>Gen!C32</f>
        <v>0</v>
      </c>
      <c r="I31" s="6" t="e">
        <f t="shared" si="3"/>
        <v>#DIV/0!</v>
      </c>
      <c r="J31" s="118" t="e">
        <f t="shared" si="1"/>
        <v>#DIV/0!</v>
      </c>
    </row>
    <row r="32" spans="1:14" ht="18.75">
      <c r="A32" s="97">
        <f>Gen!B33</f>
        <v>43913</v>
      </c>
      <c r="B32" s="353">
        <v>25</v>
      </c>
      <c r="C32" s="353">
        <v>85</v>
      </c>
      <c r="D32" s="353">
        <v>66</v>
      </c>
      <c r="E32" s="353"/>
      <c r="F32" s="353">
        <v>70879.48</v>
      </c>
      <c r="G32" s="353">
        <f t="shared" si="0"/>
        <v>62.391999999969272</v>
      </c>
      <c r="H32" s="113">
        <f>Gen!C33</f>
        <v>0</v>
      </c>
      <c r="I32" s="6" t="e">
        <f t="shared" si="3"/>
        <v>#DIV/0!</v>
      </c>
      <c r="J32" s="118" t="e">
        <f t="shared" si="1"/>
        <v>#DIV/0!</v>
      </c>
    </row>
    <row r="33" spans="1:10" ht="18.75">
      <c r="A33" s="97">
        <f>Gen!B34</f>
        <v>43914</v>
      </c>
      <c r="B33" s="353">
        <v>24</v>
      </c>
      <c r="C33" s="353">
        <v>85</v>
      </c>
      <c r="D33" s="353">
        <v>66</v>
      </c>
      <c r="E33" s="353"/>
      <c r="F33" s="353">
        <v>70893.039999999994</v>
      </c>
      <c r="G33" s="353">
        <f t="shared" si="0"/>
        <v>59.663999999989763</v>
      </c>
      <c r="H33" s="113">
        <f>Gen!C34</f>
        <v>0.02</v>
      </c>
      <c r="I33" s="6">
        <f t="shared" si="3"/>
        <v>3544651.9999999995</v>
      </c>
      <c r="J33" s="118">
        <f t="shared" si="1"/>
        <v>1.683211779322477E-5</v>
      </c>
    </row>
    <row r="34" spans="1:10" ht="18.75">
      <c r="A34" s="97">
        <f>Gen!B35</f>
        <v>43915</v>
      </c>
      <c r="B34" s="353">
        <v>23</v>
      </c>
      <c r="C34" s="353">
        <v>85</v>
      </c>
      <c r="D34" s="353">
        <v>66</v>
      </c>
      <c r="E34" s="353"/>
      <c r="F34" s="353">
        <v>70900.34</v>
      </c>
      <c r="G34" s="353">
        <f t="shared" si="0"/>
        <v>32.120000000012809</v>
      </c>
      <c r="H34" s="113">
        <f>Gen!C35</f>
        <v>0.02</v>
      </c>
      <c r="I34" s="6">
        <f t="shared" si="3"/>
        <v>3545016.9999999995</v>
      </c>
      <c r="J34" s="118">
        <f t="shared" si="1"/>
        <v>9.060605351120408E-6</v>
      </c>
    </row>
    <row r="35" spans="1:10" ht="18.75">
      <c r="A35" s="97">
        <f>Gen!B36</f>
        <v>43916</v>
      </c>
      <c r="B35" s="353">
        <v>22</v>
      </c>
      <c r="C35" s="353">
        <v>85</v>
      </c>
      <c r="D35" s="353">
        <v>66</v>
      </c>
      <c r="E35" s="353"/>
      <c r="F35" s="353">
        <v>70916.94</v>
      </c>
      <c r="G35" s="353">
        <f t="shared" si="0"/>
        <v>73.040000000025614</v>
      </c>
      <c r="H35" s="113">
        <f>Gen!C36</f>
        <v>0.02</v>
      </c>
      <c r="I35" s="6">
        <f t="shared" si="3"/>
        <v>3545847</v>
      </c>
      <c r="J35" s="118">
        <f t="shared" si="1"/>
        <v>2.0598745518355872E-5</v>
      </c>
    </row>
    <row r="36" spans="1:10" ht="18.75">
      <c r="A36" s="97">
        <f>Gen!B37</f>
        <v>43917</v>
      </c>
      <c r="B36" s="353">
        <v>21</v>
      </c>
      <c r="C36" s="353">
        <v>85</v>
      </c>
      <c r="D36" s="353">
        <v>66</v>
      </c>
      <c r="E36" s="353"/>
      <c r="F36" s="353">
        <v>70923.63</v>
      </c>
      <c r="G36" s="353">
        <f t="shared" si="0"/>
        <v>29.436000000010246</v>
      </c>
      <c r="H36" s="113">
        <f>Gen!C37</f>
        <v>0</v>
      </c>
      <c r="I36" s="6" t="e">
        <f t="shared" si="3"/>
        <v>#DIV/0!</v>
      </c>
      <c r="J36" s="118" t="e">
        <f t="shared" si="1"/>
        <v>#DIV/0!</v>
      </c>
    </row>
    <row r="37" spans="1:10" ht="18.75">
      <c r="A37" s="97">
        <f>Gen!B38</f>
        <v>43918</v>
      </c>
      <c r="B37" s="353">
        <v>20</v>
      </c>
      <c r="C37" s="353">
        <v>85</v>
      </c>
      <c r="D37" s="353">
        <v>66</v>
      </c>
      <c r="E37" s="353"/>
      <c r="F37" s="353">
        <v>70929.33</v>
      </c>
      <c r="G37" s="353">
        <f t="shared" si="0"/>
        <v>25.079999999987198</v>
      </c>
      <c r="H37" s="113">
        <f>Gen!C38</f>
        <v>0</v>
      </c>
      <c r="I37" s="6" t="e">
        <f t="shared" si="3"/>
        <v>#DIV/0!</v>
      </c>
      <c r="J37" s="118" t="e">
        <f t="shared" si="1"/>
        <v>#DIV/0!</v>
      </c>
    </row>
    <row r="38" spans="1:10" ht="18.75">
      <c r="A38" s="97">
        <f>Gen!B39</f>
        <v>43919</v>
      </c>
      <c r="B38" s="353">
        <v>19</v>
      </c>
      <c r="C38" s="353">
        <v>85</v>
      </c>
      <c r="D38" s="353">
        <v>66</v>
      </c>
      <c r="E38" s="353"/>
      <c r="F38" s="353">
        <v>70935</v>
      </c>
      <c r="G38" s="353">
        <f t="shared" si="0"/>
        <v>24.947999999992319</v>
      </c>
      <c r="H38" s="113">
        <f>Gen!C39</f>
        <v>0</v>
      </c>
      <c r="I38" s="6" t="e">
        <f t="shared" si="3"/>
        <v>#DIV/0!</v>
      </c>
      <c r="J38" s="118" t="e">
        <f t="shared" si="1"/>
        <v>#DIV/0!</v>
      </c>
    </row>
    <row r="39" spans="1:10" ht="18.75">
      <c r="A39" s="97">
        <f>Gen!B40</f>
        <v>43920</v>
      </c>
      <c r="B39" s="353">
        <v>18</v>
      </c>
      <c r="C39" s="353">
        <v>85</v>
      </c>
      <c r="D39" s="353">
        <v>66</v>
      </c>
      <c r="E39" s="353"/>
      <c r="F39" s="353">
        <v>70941.149999999994</v>
      </c>
      <c r="G39" s="353">
        <f t="shared" si="0"/>
        <v>27.059999999974391</v>
      </c>
      <c r="H39" s="113">
        <f>Gen!C40</f>
        <v>0</v>
      </c>
      <c r="I39" s="6" t="e">
        <f t="shared" si="3"/>
        <v>#DIV/0!</v>
      </c>
      <c r="J39" s="118" t="e">
        <f t="shared" si="1"/>
        <v>#DIV/0!</v>
      </c>
    </row>
    <row r="40" spans="1:10" ht="18.75">
      <c r="A40" s="97">
        <f>Gen!B41</f>
        <v>43921</v>
      </c>
      <c r="B40" s="353">
        <v>17</v>
      </c>
      <c r="C40" s="353">
        <v>85</v>
      </c>
      <c r="D40" s="353">
        <v>66</v>
      </c>
      <c r="E40" s="353"/>
      <c r="F40" s="353">
        <v>70946.460000000006</v>
      </c>
      <c r="G40" s="353">
        <f t="shared" si="0"/>
        <v>23.364000000053785</v>
      </c>
      <c r="H40" s="113">
        <f>Gen!C41</f>
        <v>0</v>
      </c>
      <c r="I40" s="6" t="e">
        <f t="shared" si="3"/>
        <v>#DIV/0!</v>
      </c>
      <c r="J40" s="118" t="e">
        <f t="shared" si="1"/>
        <v>#DIV/0!</v>
      </c>
    </row>
    <row r="41" spans="1:10" ht="18.75">
      <c r="A41" s="97">
        <f>Gen!B42</f>
        <v>43922</v>
      </c>
      <c r="B41" s="353">
        <v>16</v>
      </c>
      <c r="C41" s="353">
        <v>85</v>
      </c>
      <c r="D41" s="353">
        <v>66</v>
      </c>
      <c r="E41" s="353"/>
      <c r="F41" s="353">
        <v>70952</v>
      </c>
      <c r="G41" s="353">
        <f t="shared" si="0"/>
        <v>24.375999999971828</v>
      </c>
      <c r="H41" s="113">
        <f>Gen!C42</f>
        <v>0</v>
      </c>
      <c r="I41" s="6" t="e">
        <f t="shared" si="3"/>
        <v>#DIV/0!</v>
      </c>
      <c r="J41" s="6"/>
    </row>
    <row r="42" spans="1:10" ht="18.75">
      <c r="A42" s="97"/>
      <c r="B42" s="5"/>
      <c r="C42" s="836" t="s">
        <v>6</v>
      </c>
      <c r="D42" s="836"/>
      <c r="E42" s="2">
        <f t="shared" ref="E42:F42" si="4">SUM(E10:E40)</f>
        <v>320</v>
      </c>
      <c r="F42" s="2">
        <f t="shared" si="4"/>
        <v>2192707.2400000002</v>
      </c>
      <c r="G42" s="353">
        <f t="shared" si="0"/>
        <v>9335723.0560000017</v>
      </c>
      <c r="H42" s="7"/>
      <c r="I42" s="6"/>
      <c r="J42" s="118"/>
    </row>
    <row r="45" spans="1:10" ht="13.5" thickBot="1">
      <c r="F45">
        <f>E12-E11</f>
        <v>0</v>
      </c>
      <c r="G45" s="15">
        <f>F45*4.4</f>
        <v>0</v>
      </c>
    </row>
    <row r="46" spans="1:10">
      <c r="B46" s="830" t="s">
        <v>345</v>
      </c>
      <c r="C46" s="832"/>
      <c r="D46" s="842" t="s">
        <v>346</v>
      </c>
      <c r="E46" s="843"/>
      <c r="F46" s="843"/>
      <c r="G46" s="844"/>
      <c r="H46" s="830" t="s">
        <v>347</v>
      </c>
      <c r="I46" s="831"/>
      <c r="J46" s="832"/>
    </row>
    <row r="47" spans="1:10">
      <c r="B47" s="833"/>
      <c r="C47" s="835"/>
      <c r="D47" s="845"/>
      <c r="E47" s="846"/>
      <c r="F47" s="846"/>
      <c r="G47" s="847"/>
      <c r="H47" s="833"/>
      <c r="I47" s="834"/>
      <c r="J47" s="835"/>
    </row>
    <row r="48" spans="1:10">
      <c r="B48" s="761"/>
      <c r="C48" s="762"/>
      <c r="D48" s="761"/>
      <c r="E48" s="20"/>
      <c r="F48" s="20"/>
      <c r="G48" s="765"/>
      <c r="H48" s="761"/>
      <c r="I48" s="20"/>
      <c r="J48" s="767"/>
    </row>
    <row r="49" spans="2:10">
      <c r="B49" s="761"/>
      <c r="C49" s="762"/>
      <c r="D49" s="761"/>
      <c r="E49" s="20"/>
      <c r="F49" s="20"/>
      <c r="G49" s="765"/>
      <c r="H49" s="761"/>
      <c r="I49" s="20"/>
      <c r="J49" s="767"/>
    </row>
    <row r="50" spans="2:10">
      <c r="B50" s="761"/>
      <c r="C50" s="762"/>
      <c r="D50" s="761"/>
      <c r="E50" s="20"/>
      <c r="F50" s="20"/>
      <c r="G50" s="765"/>
      <c r="H50" s="761"/>
      <c r="I50" s="20"/>
      <c r="J50" s="767"/>
    </row>
    <row r="51" spans="2:10">
      <c r="B51" s="761"/>
      <c r="C51" s="762"/>
      <c r="D51" s="761"/>
      <c r="E51" s="20"/>
      <c r="F51" s="20"/>
      <c r="G51" s="765"/>
      <c r="H51" s="761"/>
      <c r="I51" s="20"/>
      <c r="J51" s="767"/>
    </row>
    <row r="52" spans="2:10">
      <c r="B52" s="761"/>
      <c r="C52" s="762"/>
      <c r="D52" s="761"/>
      <c r="E52" s="20"/>
      <c r="F52" s="20"/>
      <c r="G52" s="765"/>
      <c r="H52" s="761"/>
      <c r="I52" s="20"/>
      <c r="J52" s="767"/>
    </row>
    <row r="53" spans="2:10">
      <c r="B53" s="761"/>
      <c r="C53" s="762"/>
      <c r="D53" s="761"/>
      <c r="E53" s="20"/>
      <c r="F53" s="20"/>
      <c r="G53" s="765"/>
      <c r="H53" s="761"/>
      <c r="I53" s="20"/>
      <c r="J53" s="767"/>
    </row>
    <row r="54" spans="2:10">
      <c r="B54" s="761"/>
      <c r="C54" s="762"/>
      <c r="D54" s="761"/>
      <c r="E54" s="20"/>
      <c r="F54" s="20"/>
      <c r="G54" s="765"/>
      <c r="H54" s="761"/>
      <c r="I54" s="20"/>
      <c r="J54" s="767"/>
    </row>
    <row r="55" spans="2:10">
      <c r="B55" s="761"/>
      <c r="C55" s="762"/>
      <c r="D55" s="761"/>
      <c r="E55" s="20"/>
      <c r="F55" s="20"/>
      <c r="G55" s="765"/>
      <c r="H55" s="761"/>
      <c r="I55" s="20"/>
      <c r="J55" s="767"/>
    </row>
    <row r="56" spans="2:10">
      <c r="B56" s="761"/>
      <c r="C56" s="762"/>
      <c r="D56" s="761"/>
      <c r="E56" s="20"/>
      <c r="F56" s="20"/>
      <c r="G56" s="765"/>
      <c r="H56" s="761"/>
      <c r="I56" s="20"/>
      <c r="J56" s="767"/>
    </row>
    <row r="57" spans="2:10">
      <c r="B57" s="761"/>
      <c r="C57" s="762"/>
      <c r="D57" s="761"/>
      <c r="E57" s="20"/>
      <c r="F57" s="20"/>
      <c r="G57" s="765"/>
      <c r="H57" s="761"/>
      <c r="I57" s="20"/>
      <c r="J57" s="767"/>
    </row>
    <row r="58" spans="2:10">
      <c r="B58" s="761"/>
      <c r="C58" s="762"/>
      <c r="D58" s="761"/>
      <c r="E58" s="20"/>
      <c r="F58" s="20"/>
      <c r="G58" s="765"/>
      <c r="H58" s="761"/>
      <c r="I58" s="20"/>
      <c r="J58" s="767"/>
    </row>
    <row r="59" spans="2:10">
      <c r="B59" s="761"/>
      <c r="C59" s="762"/>
      <c r="D59" s="761"/>
      <c r="E59" s="20"/>
      <c r="F59" s="20"/>
      <c r="G59" s="765"/>
      <c r="H59" s="761"/>
      <c r="I59" s="20"/>
      <c r="J59" s="767"/>
    </row>
    <row r="60" spans="2:10">
      <c r="B60" s="761"/>
      <c r="C60" s="762"/>
      <c r="D60" s="761"/>
      <c r="E60" s="20"/>
      <c r="F60" s="20"/>
      <c r="G60" s="765"/>
      <c r="H60" s="761"/>
      <c r="I60" s="20"/>
      <c r="J60" s="767"/>
    </row>
    <row r="61" spans="2:10">
      <c r="B61" s="761"/>
      <c r="C61" s="762"/>
      <c r="D61" s="761"/>
      <c r="E61" s="20"/>
      <c r="F61" s="20"/>
      <c r="G61" s="765"/>
      <c r="H61" s="761"/>
      <c r="I61" s="20"/>
      <c r="J61" s="767"/>
    </row>
    <row r="62" spans="2:10">
      <c r="B62" s="761"/>
      <c r="C62" s="762"/>
      <c r="D62" s="761"/>
      <c r="E62" s="20"/>
      <c r="F62" s="20"/>
      <c r="G62" s="765"/>
      <c r="H62" s="761"/>
      <c r="I62" s="20"/>
      <c r="J62" s="767"/>
    </row>
    <row r="63" spans="2:10">
      <c r="B63" s="761"/>
      <c r="C63" s="762"/>
      <c r="D63" s="761"/>
      <c r="E63" s="20"/>
      <c r="F63" s="20"/>
      <c r="G63" s="765"/>
      <c r="H63" s="761"/>
      <c r="I63" s="20"/>
      <c r="J63" s="767"/>
    </row>
    <row r="64" spans="2:10">
      <c r="B64" s="761"/>
      <c r="C64" s="762"/>
      <c r="D64" s="761"/>
      <c r="E64" s="20"/>
      <c r="F64" s="20"/>
      <c r="G64" s="765"/>
      <c r="H64" s="761"/>
      <c r="I64" s="20"/>
      <c r="J64" s="767"/>
    </row>
    <row r="65" spans="2:10" ht="13.5" thickBot="1">
      <c r="B65" s="763"/>
      <c r="C65" s="764"/>
      <c r="D65" s="763"/>
      <c r="E65" s="332"/>
      <c r="F65" s="332"/>
      <c r="G65" s="766"/>
      <c r="H65" s="763"/>
      <c r="I65" s="332"/>
      <c r="J65" s="768"/>
    </row>
  </sheetData>
  <mergeCells count="7">
    <mergeCell ref="H46:J47"/>
    <mergeCell ref="C42:D42"/>
    <mergeCell ref="C6:D6"/>
    <mergeCell ref="E6:F6"/>
    <mergeCell ref="A7:A8"/>
    <mergeCell ref="B46:C47"/>
    <mergeCell ref="D46:G47"/>
  </mergeCells>
  <pageMargins left="0.75" right="0.75" top="1" bottom="1" header="0.5" footer="0.5"/>
  <pageSetup scale="59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sqref="A1:XFD104857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76</v>
      </c>
      <c r="C1" s="14" t="s">
        <v>24</v>
      </c>
    </row>
    <row r="2" spans="1:3">
      <c r="A2" s="96">
        <f>SUM([1]Gen!A11)</f>
        <v>43739</v>
      </c>
      <c r="B2" s="13">
        <f>'[1]Lpg (2)'!G10</f>
        <v>197.55999999997439</v>
      </c>
      <c r="C2" s="94">
        <f>SUM([1]Gen!B11)</f>
        <v>0.623</v>
      </c>
    </row>
    <row r="3" spans="1:3">
      <c r="A3" s="96">
        <f>SUM([1]Gen!A12)</f>
        <v>43740</v>
      </c>
      <c r="B3" s="13">
        <f>'[1]Lpg (2)'!G11</f>
        <v>131.95600000002307</v>
      </c>
      <c r="C3" s="94">
        <f>SUM([1]Gen!B12)</f>
        <v>0.77900000000000003</v>
      </c>
    </row>
    <row r="4" spans="1:3">
      <c r="A4" s="96">
        <f>SUM([1]Gen!A13)</f>
        <v>43741</v>
      </c>
      <c r="B4" s="13">
        <f>'[1]Lpg (2)'!G12</f>
        <v>117.4799999999872</v>
      </c>
      <c r="C4" s="94">
        <f>SUM([1]Gen!B13)</f>
        <v>0.53200000000000003</v>
      </c>
    </row>
    <row r="5" spans="1:3">
      <c r="A5" s="96">
        <f>SUM([1]Gen!A14)</f>
        <v>43742</v>
      </c>
      <c r="B5" s="13">
        <f>'[1]Lpg (2)'!G13</f>
        <v>102.9599999999744</v>
      </c>
      <c r="C5" s="94">
        <f>SUM([1]Gen!B14)</f>
        <v>0.61</v>
      </c>
    </row>
    <row r="6" spans="1:3">
      <c r="A6" s="96">
        <f>SUM([1]Gen!A15)</f>
        <v>43743</v>
      </c>
      <c r="B6" s="13">
        <f>'[1]Lpg (2)'!G14</f>
        <v>101.81599999999744</v>
      </c>
      <c r="C6" s="94">
        <f>SUM([1]Gen!B15)</f>
        <v>0.68799999999999994</v>
      </c>
    </row>
    <row r="7" spans="1:3">
      <c r="A7" s="96">
        <f>SUM([1]Gen!A16)</f>
        <v>43744</v>
      </c>
      <c r="B7" s="13">
        <f>'[1]Lpg (2)'!G15</f>
        <v>106.92000000001282</v>
      </c>
      <c r="C7" s="94">
        <f>SUM([1]Gen!B16)</f>
        <v>0.53200000000000003</v>
      </c>
    </row>
    <row r="8" spans="1:3">
      <c r="A8" s="96">
        <f>SUM([1]Gen!A17)</f>
        <v>43745</v>
      </c>
      <c r="B8" s="13">
        <f>'[1]Lpg (2)'!G16</f>
        <v>116.73199999999488</v>
      </c>
      <c r="C8" s="94">
        <f>SUM([1]Gen!B17)</f>
        <v>0.753</v>
      </c>
    </row>
    <row r="9" spans="1:3">
      <c r="A9" s="96">
        <f>SUM([1]Gen!A18)</f>
        <v>43746</v>
      </c>
      <c r="B9" s="13">
        <f>'[1]Lpg (2)'!G17</f>
        <v>105.73199999999488</v>
      </c>
      <c r="C9" s="94">
        <f>SUM([1]Gen!B18)</f>
        <v>0.156</v>
      </c>
    </row>
    <row r="10" spans="1:3">
      <c r="A10" s="96">
        <f>SUM([1]Gen!A19)</f>
        <v>43747</v>
      </c>
      <c r="B10" s="13">
        <f>'[1]Lpg (2)'!G18</f>
        <v>114.4</v>
      </c>
      <c r="C10" s="94">
        <f>SUM([1]Gen!B19)</f>
        <v>0.442</v>
      </c>
    </row>
    <row r="11" spans="1:3">
      <c r="A11" s="96">
        <f>SUM([1]Gen!A20)</f>
        <v>43748</v>
      </c>
      <c r="B11" s="13">
        <f>'[1]Lpg (2)'!G19</f>
        <v>102.08000000005123</v>
      </c>
      <c r="C11" s="94">
        <f>SUM([1]Gen!B20)</f>
        <v>0.32500000000000001</v>
      </c>
    </row>
    <row r="12" spans="1:3">
      <c r="A12" s="96">
        <f>SUM([1]Gen!A21)</f>
        <v>43749</v>
      </c>
      <c r="B12" s="13">
        <f>'[1]Lpg (2)'!G20</f>
        <v>105.29199999996928</v>
      </c>
      <c r="C12" s="94">
        <f>SUM([1]Gen!B21)</f>
        <v>0.45500000000000002</v>
      </c>
    </row>
    <row r="13" spans="1:3">
      <c r="A13" s="96">
        <f>SUM([1]Gen!A22)</f>
        <v>43750</v>
      </c>
      <c r="B13" s="13">
        <f>'[1]Lpg (2)'!G21</f>
        <v>114.66399999998977</v>
      </c>
      <c r="C13" s="94">
        <f>SUM([1]Gen!B22)</f>
        <v>0.41599999999999998</v>
      </c>
    </row>
    <row r="14" spans="1:3">
      <c r="A14" s="96">
        <f>SUM([1]Gen!A23)</f>
        <v>43751</v>
      </c>
      <c r="B14" s="13">
        <f>'[1]Lpg (2)'!G22</f>
        <v>113.78400000000256</v>
      </c>
      <c r="C14" s="94">
        <f>SUM([1]Gen!B23)</f>
        <v>0.39</v>
      </c>
    </row>
    <row r="15" spans="1:3">
      <c r="A15" s="96">
        <f>SUM([1]Gen!A24)</f>
        <v>43752</v>
      </c>
      <c r="B15" s="13">
        <f>'[1]Lpg (2)'!G23</f>
        <v>114.62000000001281</v>
      </c>
      <c r="C15" s="94">
        <f>SUM([1]Gen!B24)</f>
        <v>0.63600000000000001</v>
      </c>
    </row>
    <row r="16" spans="1:3">
      <c r="A16" s="96">
        <f>SUM([1]Gen!A25)</f>
        <v>43753</v>
      </c>
      <c r="B16" s="13">
        <f>'[1]Lpg (2)'!G24</f>
        <v>107.49199999996928</v>
      </c>
      <c r="C16" s="94">
        <f>SUM([1]Gen!B25)</f>
        <v>0.84399999999999997</v>
      </c>
    </row>
    <row r="17" spans="1:3">
      <c r="A17" s="96">
        <f>SUM([1]Gen!A26)</f>
        <v>43754</v>
      </c>
      <c r="B17" s="13">
        <f>'[1]Lpg (2)'!G25</f>
        <v>106.78800000001793</v>
      </c>
      <c r="C17" s="94">
        <f>SUM([1]Gen!B26)</f>
        <v>0.81799999999999995</v>
      </c>
    </row>
    <row r="18" spans="1:3">
      <c r="A18" s="96">
        <f>SUM([1]Gen!A27)</f>
        <v>43755</v>
      </c>
      <c r="B18" s="13">
        <f>'[1]Lpg (2)'!G26</f>
        <v>100.76000000003843</v>
      </c>
      <c r="C18" s="94">
        <f>SUM([1]Gen!B27)</f>
        <v>0.20799999999999999</v>
      </c>
    </row>
    <row r="19" spans="1:3">
      <c r="A19" s="96">
        <f>SUM([1]Gen!A28)</f>
        <v>43756</v>
      </c>
      <c r="B19" s="13">
        <f>'[1]Lpg (2)'!G27</f>
        <v>108.6799999999872</v>
      </c>
      <c r="C19" s="94">
        <f>SUM([1]Gen!B28)</f>
        <v>0.221</v>
      </c>
    </row>
    <row r="20" spans="1:3">
      <c r="A20" s="96">
        <f>SUM([1]Gen!A29)</f>
        <v>43757</v>
      </c>
      <c r="B20" s="13">
        <f>'[1]Lpg (2)'!G28</f>
        <v>92.795999999984645</v>
      </c>
      <c r="C20" s="94">
        <f>SUM([1]Gen!B29)</f>
        <v>0.11700000000000001</v>
      </c>
    </row>
    <row r="21" spans="1:3">
      <c r="A21" s="96">
        <f>SUM([1]Gen!A30)</f>
        <v>43758</v>
      </c>
      <c r="B21" s="13">
        <f>'[1]Lpg (2)'!G29</f>
        <v>137.80800000003075</v>
      </c>
      <c r="C21" s="94">
        <f>SUM([1]Gen!B30)</f>
        <v>0.57099999999999995</v>
      </c>
    </row>
    <row r="22" spans="1:3">
      <c r="A22" s="96">
        <f>SUM([1]Gen!A31)</f>
        <v>43759</v>
      </c>
      <c r="B22" s="13">
        <f>'[1]Lpg (2)'!G30</f>
        <v>103.79599999998464</v>
      </c>
      <c r="C22" s="94">
        <f>SUM([1]Gen!B31)</f>
        <v>0.55800000000000005</v>
      </c>
    </row>
    <row r="23" spans="1:3">
      <c r="A23" s="96">
        <f>SUM([1]Gen!A32)</f>
        <v>43760</v>
      </c>
      <c r="B23" s="13">
        <f>'[1]Lpg (2)'!G31</f>
        <v>20.415999999997439</v>
      </c>
      <c r="C23" s="94">
        <f>SUM([1]Gen!B32)</f>
        <v>0.40300000000000002</v>
      </c>
    </row>
    <row r="24" spans="1:3">
      <c r="A24" s="96">
        <f>SUM([1]Gen!A33)</f>
        <v>43761</v>
      </c>
      <c r="B24" s="13">
        <f>'[1]Lpg (2)'!G32</f>
        <v>197.69199999996928</v>
      </c>
      <c r="C24" s="94">
        <f>SUM([1]Gen!B33)</f>
        <v>0.24</v>
      </c>
    </row>
    <row r="25" spans="1:3">
      <c r="A25" s="96">
        <f>SUM([1]Gen!A34)</f>
        <v>43762</v>
      </c>
      <c r="B25" s="13">
        <f>'[1]Lpg (2)'!G33</f>
        <v>101.11200000004611</v>
      </c>
      <c r="C25" s="94">
        <f>SUM([1]Gen!B34)</f>
        <v>0.09</v>
      </c>
    </row>
    <row r="26" spans="1:3">
      <c r="A26" s="96">
        <f>SUM([1]Gen!A35)</f>
        <v>43763</v>
      </c>
      <c r="B26" s="13">
        <f>'[1]Lpg (2)'!G34</f>
        <v>95.303999999951344</v>
      </c>
      <c r="C26" s="94">
        <f>SUM([1]Gen!B35)</f>
        <v>0.28599999999999998</v>
      </c>
    </row>
    <row r="27" spans="1:3">
      <c r="A27" s="96">
        <f>SUM([1]Gen!A36)</f>
        <v>43764</v>
      </c>
      <c r="B27" s="13">
        <f>'[1]Lpg (2)'!G35</f>
        <v>104.80800000003075</v>
      </c>
      <c r="C27" s="94">
        <f>SUM([1]Gen!B36)</f>
        <v>0.54500000000000004</v>
      </c>
    </row>
    <row r="28" spans="1:3">
      <c r="A28" s="96">
        <f>SUM([1]Gen!A37)</f>
        <v>43765</v>
      </c>
      <c r="B28" s="13">
        <f>'[1]Lpg (2)'!G36</f>
        <v>102.43199999999489</v>
      </c>
      <c r="C28" s="94">
        <f>SUM([1]Gen!B37)</f>
        <v>0.67500000000000004</v>
      </c>
    </row>
    <row r="29" spans="1:3">
      <c r="A29" s="96">
        <f>SUM([1]Gen!A38)</f>
        <v>43766</v>
      </c>
      <c r="B29" s="13">
        <f>'[1]Lpg (2)'!G37</f>
        <v>-295728.88400000002</v>
      </c>
      <c r="C29" s="94">
        <f>SUM([1]Gen!B38)</f>
        <v>0.27300000000000002</v>
      </c>
    </row>
    <row r="30" spans="1:3">
      <c r="A30" s="96">
        <f>SUM([1]Gen!A39)</f>
        <v>43767</v>
      </c>
      <c r="B30" s="13">
        <f>'[1]Lpg (2)'!G38</f>
        <v>0</v>
      </c>
      <c r="C30" s="94" t="e">
        <f>SUM([1]Gen!B39)</f>
        <v>#REF!</v>
      </c>
    </row>
    <row r="31" spans="1:3">
      <c r="A31" s="96">
        <f>SUM([1]Gen!A40)</f>
        <v>43768</v>
      </c>
      <c r="B31" s="13">
        <f>'[1]Lpg (2)'!G39</f>
        <v>0</v>
      </c>
      <c r="C31" s="94" t="e">
        <f>SUM([1]Gen!B40)</f>
        <v>#REF!</v>
      </c>
    </row>
    <row r="32" spans="1:3">
      <c r="A32" s="96">
        <f>SUM([1]Gen!A41)</f>
        <v>43769</v>
      </c>
      <c r="B32" s="13">
        <f>'[1]Lpg (2)'!G40</f>
        <v>0</v>
      </c>
      <c r="C32" s="94" t="e">
        <f>SUM([1]Gen!B41)</f>
        <v>#REF!</v>
      </c>
    </row>
    <row r="33" spans="1:2">
      <c r="A33" s="10"/>
      <c r="B33" s="13"/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abSelected="1" zoomScale="94" zoomScaleNormal="94" workbookViewId="0">
      <pane xSplit="1" topLeftCell="B1" activePane="topRight" state="frozen"/>
      <selection pane="topRight" activeCell="I80" sqref="I80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2.28515625" customWidth="1"/>
    <col min="21" max="21" width="11.28515625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867" t="s">
        <v>313</v>
      </c>
      <c r="B1" s="868"/>
      <c r="C1" s="868"/>
      <c r="D1" s="868"/>
      <c r="E1" s="868"/>
      <c r="F1" s="868"/>
      <c r="G1" s="868"/>
      <c r="H1" s="868"/>
      <c r="I1" s="868"/>
      <c r="J1" s="868"/>
      <c r="K1" s="868"/>
      <c r="L1" s="868"/>
      <c r="M1" s="868"/>
      <c r="N1" s="868"/>
      <c r="O1" s="868"/>
      <c r="P1" s="868"/>
      <c r="Q1" s="868"/>
      <c r="R1" s="868"/>
      <c r="S1" s="868"/>
      <c r="T1" s="868"/>
      <c r="U1" s="868"/>
      <c r="V1" s="868"/>
      <c r="W1" s="868"/>
      <c r="X1" s="868"/>
      <c r="Y1" s="868"/>
      <c r="Z1" s="868"/>
      <c r="AA1" s="868"/>
      <c r="AB1" s="868"/>
      <c r="AC1" s="868"/>
      <c r="AD1" s="868"/>
      <c r="AE1" s="868"/>
      <c r="AF1" s="868"/>
      <c r="AG1" s="868"/>
      <c r="AH1" s="868"/>
      <c r="AI1" s="868"/>
      <c r="AJ1" s="868"/>
      <c r="AK1" s="868"/>
      <c r="AL1" s="868"/>
      <c r="AM1" s="868"/>
      <c r="AN1" s="868"/>
    </row>
    <row r="2" spans="1:40" ht="13.5" customHeight="1" thickTop="1">
      <c r="A2" s="30"/>
      <c r="B2" s="30"/>
      <c r="C2" s="866" t="s">
        <v>53</v>
      </c>
      <c r="D2" s="866"/>
      <c r="E2" s="866"/>
      <c r="F2" s="866" t="s">
        <v>17</v>
      </c>
      <c r="G2" s="866"/>
      <c r="H2" s="866"/>
      <c r="I2" s="866" t="s">
        <v>132</v>
      </c>
      <c r="J2" s="866"/>
      <c r="K2" s="866"/>
      <c r="L2" s="866" t="s">
        <v>135</v>
      </c>
      <c r="M2" s="866"/>
      <c r="N2" s="866"/>
      <c r="O2" s="866" t="s">
        <v>133</v>
      </c>
      <c r="P2" s="866"/>
      <c r="Q2" s="866"/>
      <c r="R2" s="333"/>
      <c r="S2" s="875" t="s">
        <v>183</v>
      </c>
      <c r="T2" s="876"/>
      <c r="U2" s="877"/>
      <c r="V2" s="875" t="s">
        <v>184</v>
      </c>
      <c r="W2" s="876"/>
      <c r="X2" s="877"/>
      <c r="Y2" s="875" t="s">
        <v>185</v>
      </c>
      <c r="Z2" s="876"/>
      <c r="AA2" s="877"/>
      <c r="AB2" s="875" t="s">
        <v>186</v>
      </c>
      <c r="AC2" s="876"/>
      <c r="AD2" s="877"/>
      <c r="AE2" s="869" t="s">
        <v>240</v>
      </c>
      <c r="AF2" s="870"/>
      <c r="AG2" s="881"/>
      <c r="AH2" s="869" t="s">
        <v>244</v>
      </c>
      <c r="AI2" s="870"/>
      <c r="AJ2" s="881"/>
      <c r="AK2" s="869" t="s">
        <v>241</v>
      </c>
      <c r="AL2" s="870"/>
      <c r="AM2" s="870"/>
      <c r="AN2" s="873" t="s">
        <v>191</v>
      </c>
    </row>
    <row r="3" spans="1:40" ht="21.75" customHeight="1" thickBot="1">
      <c r="A3" s="864" t="s">
        <v>7</v>
      </c>
      <c r="B3" s="30"/>
      <c r="C3" s="866" t="s">
        <v>134</v>
      </c>
      <c r="D3" s="866" t="s">
        <v>15</v>
      </c>
      <c r="E3" s="866" t="s">
        <v>16</v>
      </c>
      <c r="F3" s="866" t="s">
        <v>134</v>
      </c>
      <c r="G3" s="866" t="s">
        <v>15</v>
      </c>
      <c r="H3" s="866" t="s">
        <v>16</v>
      </c>
      <c r="I3" s="866" t="s">
        <v>134</v>
      </c>
      <c r="J3" s="866" t="s">
        <v>15</v>
      </c>
      <c r="K3" s="866" t="s">
        <v>16</v>
      </c>
      <c r="L3" s="866" t="s">
        <v>134</v>
      </c>
      <c r="M3" s="866" t="s">
        <v>15</v>
      </c>
      <c r="N3" s="866" t="s">
        <v>16</v>
      </c>
      <c r="O3" s="866" t="s">
        <v>134</v>
      </c>
      <c r="P3" s="866" t="s">
        <v>15</v>
      </c>
      <c r="Q3" s="866" t="s">
        <v>16</v>
      </c>
      <c r="R3" s="883" t="s">
        <v>187</v>
      </c>
      <c r="S3" s="878"/>
      <c r="T3" s="879"/>
      <c r="U3" s="880"/>
      <c r="V3" s="878"/>
      <c r="W3" s="879"/>
      <c r="X3" s="880"/>
      <c r="Y3" s="878"/>
      <c r="Z3" s="879"/>
      <c r="AA3" s="880"/>
      <c r="AB3" s="878"/>
      <c r="AC3" s="879"/>
      <c r="AD3" s="880"/>
      <c r="AE3" s="871"/>
      <c r="AF3" s="872"/>
      <c r="AG3" s="882"/>
      <c r="AH3" s="871"/>
      <c r="AI3" s="872"/>
      <c r="AJ3" s="882"/>
      <c r="AK3" s="871"/>
      <c r="AL3" s="872"/>
      <c r="AM3" s="872"/>
      <c r="AN3" s="874"/>
    </row>
    <row r="4" spans="1:40" ht="15.75" thickTop="1">
      <c r="A4" s="865"/>
      <c r="B4" s="325"/>
      <c r="C4" s="866"/>
      <c r="D4" s="866"/>
      <c r="E4" s="866"/>
      <c r="F4" s="866"/>
      <c r="G4" s="866"/>
      <c r="H4" s="866"/>
      <c r="I4" s="866"/>
      <c r="J4" s="866"/>
      <c r="K4" s="866"/>
      <c r="L4" s="866"/>
      <c r="M4" s="866"/>
      <c r="N4" s="866"/>
      <c r="O4" s="866"/>
      <c r="P4" s="866"/>
      <c r="Q4" s="866"/>
      <c r="R4" s="883"/>
      <c r="S4" s="339" t="s">
        <v>188</v>
      </c>
      <c r="T4" s="340" t="s">
        <v>189</v>
      </c>
      <c r="U4" s="337" t="s">
        <v>190</v>
      </c>
      <c r="V4" s="335" t="s">
        <v>188</v>
      </c>
      <c r="W4" s="336" t="s">
        <v>189</v>
      </c>
      <c r="X4" s="337" t="s">
        <v>190</v>
      </c>
      <c r="Y4" s="335" t="s">
        <v>188</v>
      </c>
      <c r="Z4" s="336" t="s">
        <v>189</v>
      </c>
      <c r="AA4" s="337" t="s">
        <v>190</v>
      </c>
      <c r="AB4" s="335" t="s">
        <v>188</v>
      </c>
      <c r="AC4" s="336" t="s">
        <v>189</v>
      </c>
      <c r="AD4" s="379" t="s">
        <v>120</v>
      </c>
      <c r="AE4" s="335" t="s">
        <v>188</v>
      </c>
      <c r="AF4" s="336" t="s">
        <v>189</v>
      </c>
      <c r="AG4" s="380" t="s">
        <v>120</v>
      </c>
      <c r="AH4" s="335" t="s">
        <v>188</v>
      </c>
      <c r="AI4" s="336" t="s">
        <v>189</v>
      </c>
      <c r="AJ4" s="380" t="s">
        <v>120</v>
      </c>
      <c r="AK4" s="335" t="s">
        <v>188</v>
      </c>
      <c r="AL4" s="336" t="s">
        <v>189</v>
      </c>
      <c r="AM4" s="380" t="s">
        <v>120</v>
      </c>
      <c r="AN4" s="381"/>
    </row>
    <row r="5" spans="1:40" ht="18.75">
      <c r="A5" s="4"/>
      <c r="B5" s="4"/>
      <c r="C5" s="98">
        <f t="shared" ref="C5:C24" si="0">D4</f>
        <v>0</v>
      </c>
      <c r="D5" s="1">
        <v>229626</v>
      </c>
      <c r="E5" s="59">
        <f t="shared" ref="E5:E16" si="1">IF((D5-D4)&lt;0,"0",(D5-D4))</f>
        <v>229626</v>
      </c>
      <c r="F5" s="98">
        <f t="shared" ref="F5:F37" si="2">G4</f>
        <v>0</v>
      </c>
      <c r="G5" s="520">
        <v>38000</v>
      </c>
      <c r="H5" s="637">
        <f t="shared" ref="H5:H25" si="3">IF((G5-G4)&lt;0,"0",(G5-G4))</f>
        <v>38000</v>
      </c>
      <c r="I5" s="98">
        <f t="shared" ref="I5:I24" si="4">J4</f>
        <v>0</v>
      </c>
      <c r="J5" s="1">
        <v>7823</v>
      </c>
      <c r="K5" s="637">
        <f t="shared" ref="K5:K24" si="5">IF((J5-J4)&lt;0,"0",(J5-J4))</f>
        <v>7823</v>
      </c>
      <c r="L5" s="98">
        <f t="shared" ref="L5:L24" si="6">M4</f>
        <v>0</v>
      </c>
      <c r="M5" s="1">
        <v>11787</v>
      </c>
      <c r="N5" s="637">
        <f t="shared" ref="N5:N24" si="7">IF((M5-M4)&lt;0,"0",(M5-M4))</f>
        <v>11787</v>
      </c>
      <c r="O5" s="98">
        <f t="shared" ref="O5:O24" si="8">P4</f>
        <v>0</v>
      </c>
      <c r="P5" s="514">
        <v>19909</v>
      </c>
      <c r="Q5" s="637">
        <f t="shared" ref="Q5:Q24" si="9">IF((P5-P4)&lt;0,"0",(P5-P4))</f>
        <v>19909</v>
      </c>
      <c r="R5" s="327"/>
      <c r="S5" s="326"/>
      <c r="T5" s="515">
        <v>49970</v>
      </c>
      <c r="U5" s="326" t="str">
        <f t="shared" ref="U5:V20" si="10">V4</f>
        <v xml:space="preserve">OPEN </v>
      </c>
      <c r="V5" s="326" t="str">
        <f t="shared" si="10"/>
        <v>FINAL</v>
      </c>
      <c r="W5" s="515">
        <v>70354</v>
      </c>
      <c r="X5" s="327"/>
      <c r="Y5" s="326" t="str">
        <f t="shared" ref="Y5:Y37" si="11">Z4</f>
        <v>FINAL</v>
      </c>
      <c r="Z5" s="515">
        <v>79563</v>
      </c>
      <c r="AA5" s="327"/>
      <c r="AB5" s="326" t="str">
        <f t="shared" ref="AB5:AB37" si="12">AC4</f>
        <v>FINAL</v>
      </c>
      <c r="AC5" s="737">
        <v>12982</v>
      </c>
      <c r="AD5" s="341"/>
      <c r="AE5" s="326" t="str">
        <f t="shared" ref="AE5:AE37" si="13">AF4</f>
        <v>FINAL</v>
      </c>
      <c r="AF5" s="738">
        <v>16558</v>
      </c>
      <c r="AG5" s="341"/>
      <c r="AH5" s="326" t="str">
        <f t="shared" ref="AH5:AH37" si="14">AI4</f>
        <v>FINAL</v>
      </c>
      <c r="AI5" s="738">
        <v>24349</v>
      </c>
      <c r="AJ5" s="341"/>
      <c r="AK5" s="419" t="str">
        <f t="shared" ref="AK5:AK37" si="15">AL4</f>
        <v>FINAL</v>
      </c>
      <c r="AL5" s="515">
        <v>15154</v>
      </c>
      <c r="AM5" s="341"/>
      <c r="AN5" s="522"/>
    </row>
    <row r="6" spans="1:40" ht="23.1" customHeight="1">
      <c r="A6" s="58">
        <f>Gen!B11</f>
        <v>43891</v>
      </c>
      <c r="B6" s="4"/>
      <c r="C6" s="98">
        <f t="shared" si="0"/>
        <v>229626</v>
      </c>
      <c r="D6" s="1">
        <v>229772</v>
      </c>
      <c r="E6" s="59">
        <f t="shared" si="1"/>
        <v>146</v>
      </c>
      <c r="F6" s="98">
        <f t="shared" si="2"/>
        <v>38000</v>
      </c>
      <c r="G6" s="520">
        <v>38000</v>
      </c>
      <c r="H6" s="637">
        <f t="shared" si="3"/>
        <v>0</v>
      </c>
      <c r="I6" s="98">
        <f t="shared" si="4"/>
        <v>7823</v>
      </c>
      <c r="J6" s="1">
        <v>7826</v>
      </c>
      <c r="K6" s="637">
        <f t="shared" si="5"/>
        <v>3</v>
      </c>
      <c r="L6" s="98">
        <f t="shared" si="6"/>
        <v>11787</v>
      </c>
      <c r="M6" s="1">
        <v>11850</v>
      </c>
      <c r="N6" s="637">
        <f t="shared" si="7"/>
        <v>63</v>
      </c>
      <c r="O6" s="98">
        <f t="shared" si="8"/>
        <v>19909</v>
      </c>
      <c r="P6" s="514">
        <v>19920</v>
      </c>
      <c r="Q6" s="637">
        <f t="shared" si="9"/>
        <v>11</v>
      </c>
      <c r="R6" s="331"/>
      <c r="S6" s="326">
        <f t="shared" ref="S6:S24" si="16">T5</f>
        <v>49970</v>
      </c>
      <c r="T6" s="515">
        <v>50028</v>
      </c>
      <c r="U6" s="638">
        <f t="shared" ref="U6:U37" si="17">IF((T6-T5)&lt;0,"0",(T6-T5))</f>
        <v>58</v>
      </c>
      <c r="V6" s="326">
        <f t="shared" si="10"/>
        <v>70354</v>
      </c>
      <c r="W6" s="515">
        <v>70396</v>
      </c>
      <c r="X6" s="638">
        <f t="shared" ref="X6:X37" si="18">IF((W6-W5)&lt;0,"0",(W6-W5))</f>
        <v>42</v>
      </c>
      <c r="Y6" s="326">
        <f t="shared" si="11"/>
        <v>79563</v>
      </c>
      <c r="Z6" s="515">
        <v>79631</v>
      </c>
      <c r="AA6" s="638">
        <f t="shared" ref="AA6:AA37" si="19">IF((Z6-Z5)&lt;0,"0",(Z6-Z5))</f>
        <v>68</v>
      </c>
      <c r="AB6" s="326">
        <f t="shared" si="12"/>
        <v>12982</v>
      </c>
      <c r="AC6" s="641">
        <v>12996</v>
      </c>
      <c r="AD6" s="638">
        <f t="shared" ref="AD6:AD37" si="20">IF((AC6-AC5)&lt;0,"0",(AC6-AC5))</f>
        <v>14</v>
      </c>
      <c r="AE6" s="326">
        <f t="shared" si="13"/>
        <v>16558</v>
      </c>
      <c r="AF6" s="516">
        <v>16582</v>
      </c>
      <c r="AG6" s="638">
        <f t="shared" ref="AG6:AG37" si="21">IF((AF6-AF5)&lt;0,"0",(AF6-AF5))</f>
        <v>24</v>
      </c>
      <c r="AH6" s="326">
        <f t="shared" si="14"/>
        <v>24349</v>
      </c>
      <c r="AI6" s="738">
        <v>24349</v>
      </c>
      <c r="AJ6" s="638">
        <f>IF((AI7-AI5)&lt;0,"0",(AI7-AI5))</f>
        <v>0</v>
      </c>
      <c r="AK6" s="419">
        <f t="shared" si="15"/>
        <v>15154</v>
      </c>
      <c r="AL6" s="515">
        <v>15154</v>
      </c>
      <c r="AM6" s="638">
        <f t="shared" ref="AM6:AM37" si="22">IF((AL6-AL5)&lt;0,"0",(AL6-AL5))</f>
        <v>0</v>
      </c>
      <c r="AN6" s="522">
        <f>U6+X6+AA6+AD6+AG6+AJ6+AM6</f>
        <v>206</v>
      </c>
    </row>
    <row r="7" spans="1:40" ht="23.1" customHeight="1">
      <c r="A7" s="58">
        <f>Gen!B12</f>
        <v>43892</v>
      </c>
      <c r="B7" s="4"/>
      <c r="C7" s="98">
        <f t="shared" si="0"/>
        <v>229772</v>
      </c>
      <c r="D7" s="1">
        <v>229936</v>
      </c>
      <c r="E7" s="59">
        <f t="shared" si="1"/>
        <v>164</v>
      </c>
      <c r="F7" s="98">
        <f t="shared" si="2"/>
        <v>38000</v>
      </c>
      <c r="G7" s="520">
        <v>38000</v>
      </c>
      <c r="H7" s="637">
        <f t="shared" si="3"/>
        <v>0</v>
      </c>
      <c r="I7" s="98">
        <f t="shared" si="4"/>
        <v>7826</v>
      </c>
      <c r="J7" s="1">
        <v>7829</v>
      </c>
      <c r="K7" s="637">
        <f t="shared" si="5"/>
        <v>3</v>
      </c>
      <c r="L7" s="98">
        <f t="shared" si="6"/>
        <v>11850</v>
      </c>
      <c r="M7" s="1">
        <v>11850</v>
      </c>
      <c r="N7" s="637">
        <f t="shared" si="7"/>
        <v>0</v>
      </c>
      <c r="O7" s="98">
        <f t="shared" si="8"/>
        <v>19920</v>
      </c>
      <c r="P7" s="514">
        <v>19929</v>
      </c>
      <c r="Q7" s="637">
        <f t="shared" si="9"/>
        <v>9</v>
      </c>
      <c r="R7" s="331"/>
      <c r="S7" s="326">
        <f t="shared" si="16"/>
        <v>50028</v>
      </c>
      <c r="T7" s="515">
        <v>50087</v>
      </c>
      <c r="U7" s="638">
        <f t="shared" si="17"/>
        <v>59</v>
      </c>
      <c r="V7" s="326">
        <f t="shared" si="10"/>
        <v>70396</v>
      </c>
      <c r="W7" s="515">
        <v>70448</v>
      </c>
      <c r="X7" s="638">
        <f t="shared" si="18"/>
        <v>52</v>
      </c>
      <c r="Y7" s="326">
        <f t="shared" si="11"/>
        <v>79631</v>
      </c>
      <c r="Z7" s="515">
        <v>79677</v>
      </c>
      <c r="AA7" s="638">
        <f t="shared" si="19"/>
        <v>46</v>
      </c>
      <c r="AB7" s="326">
        <f t="shared" si="12"/>
        <v>12996</v>
      </c>
      <c r="AC7" s="641">
        <v>13004</v>
      </c>
      <c r="AD7" s="638">
        <f t="shared" si="20"/>
        <v>8</v>
      </c>
      <c r="AE7" s="326">
        <f t="shared" si="13"/>
        <v>16582</v>
      </c>
      <c r="AF7" s="516">
        <v>16608</v>
      </c>
      <c r="AG7" s="638">
        <f t="shared" si="21"/>
        <v>26</v>
      </c>
      <c r="AH7" s="326">
        <f t="shared" si="14"/>
        <v>24349</v>
      </c>
      <c r="AI7" s="738">
        <v>24349</v>
      </c>
      <c r="AJ7" s="638">
        <f t="shared" ref="AJ7:AJ37" si="23">IF((AI8-AI6)&lt;0,"0",(AI8-AI6))</f>
        <v>0</v>
      </c>
      <c r="AK7" s="419">
        <f t="shared" si="15"/>
        <v>15154</v>
      </c>
      <c r="AL7" s="515">
        <v>15154</v>
      </c>
      <c r="AM7" s="638">
        <f t="shared" si="22"/>
        <v>0</v>
      </c>
      <c r="AN7" s="522">
        <f t="shared" ref="AN7:AN36" si="24">U7+X7+AA7+AD7+AG7+AJ7+AM7</f>
        <v>191</v>
      </c>
    </row>
    <row r="8" spans="1:40" ht="23.1" customHeight="1">
      <c r="A8" s="58">
        <f>Gen!B13</f>
        <v>43893</v>
      </c>
      <c r="B8" s="4"/>
      <c r="C8" s="98">
        <f t="shared" si="0"/>
        <v>229936</v>
      </c>
      <c r="D8" s="1">
        <v>230100</v>
      </c>
      <c r="E8" s="59">
        <f t="shared" si="1"/>
        <v>164</v>
      </c>
      <c r="F8" s="98">
        <f t="shared" si="2"/>
        <v>38000</v>
      </c>
      <c r="G8" s="520">
        <v>38000</v>
      </c>
      <c r="H8" s="637">
        <f t="shared" si="3"/>
        <v>0</v>
      </c>
      <c r="I8" s="98">
        <f t="shared" si="4"/>
        <v>7829</v>
      </c>
      <c r="J8" s="1">
        <v>7831</v>
      </c>
      <c r="K8" s="637">
        <f t="shared" si="5"/>
        <v>2</v>
      </c>
      <c r="L8" s="98">
        <f t="shared" si="6"/>
        <v>11850</v>
      </c>
      <c r="M8" s="1">
        <v>11854</v>
      </c>
      <c r="N8" s="637">
        <f t="shared" si="7"/>
        <v>4</v>
      </c>
      <c r="O8" s="98">
        <f t="shared" si="8"/>
        <v>19929</v>
      </c>
      <c r="P8" s="514">
        <v>19939</v>
      </c>
      <c r="Q8" s="637">
        <f t="shared" si="9"/>
        <v>10</v>
      </c>
      <c r="R8" s="331"/>
      <c r="S8" s="326">
        <f t="shared" si="16"/>
        <v>50087</v>
      </c>
      <c r="T8" s="515">
        <v>50144</v>
      </c>
      <c r="U8" s="638">
        <f t="shared" si="17"/>
        <v>57</v>
      </c>
      <c r="V8" s="326">
        <f t="shared" si="10"/>
        <v>70448</v>
      </c>
      <c r="W8" s="515">
        <v>70514</v>
      </c>
      <c r="X8" s="638">
        <f t="shared" si="18"/>
        <v>66</v>
      </c>
      <c r="Y8" s="326">
        <f t="shared" si="11"/>
        <v>79677</v>
      </c>
      <c r="Z8" s="515">
        <v>79736</v>
      </c>
      <c r="AA8" s="638">
        <f t="shared" si="19"/>
        <v>59</v>
      </c>
      <c r="AB8" s="326">
        <f t="shared" si="12"/>
        <v>13004</v>
      </c>
      <c r="AC8" s="641">
        <v>13018</v>
      </c>
      <c r="AD8" s="638">
        <f t="shared" si="20"/>
        <v>14</v>
      </c>
      <c r="AE8" s="326">
        <f t="shared" si="13"/>
        <v>16608</v>
      </c>
      <c r="AF8" s="516">
        <v>16633</v>
      </c>
      <c r="AG8" s="638">
        <f t="shared" si="21"/>
        <v>25</v>
      </c>
      <c r="AH8" s="326">
        <f t="shared" si="14"/>
        <v>24349</v>
      </c>
      <c r="AI8" s="738">
        <v>24349</v>
      </c>
      <c r="AJ8" s="638">
        <f t="shared" si="23"/>
        <v>0</v>
      </c>
      <c r="AK8" s="419">
        <f t="shared" si="15"/>
        <v>15154</v>
      </c>
      <c r="AL8" s="515">
        <v>15154</v>
      </c>
      <c r="AM8" s="638">
        <f t="shared" si="22"/>
        <v>0</v>
      </c>
      <c r="AN8" s="522">
        <f t="shared" si="24"/>
        <v>221</v>
      </c>
    </row>
    <row r="9" spans="1:40" ht="23.1" customHeight="1">
      <c r="A9" s="58">
        <f>Gen!B14</f>
        <v>43894</v>
      </c>
      <c r="B9" s="4"/>
      <c r="C9" s="98">
        <f t="shared" si="0"/>
        <v>230100</v>
      </c>
      <c r="D9" s="1">
        <v>230263</v>
      </c>
      <c r="E9" s="59">
        <f t="shared" si="1"/>
        <v>163</v>
      </c>
      <c r="F9" s="98">
        <f t="shared" si="2"/>
        <v>38000</v>
      </c>
      <c r="G9" s="520">
        <v>38000</v>
      </c>
      <c r="H9" s="637">
        <f t="shared" si="3"/>
        <v>0</v>
      </c>
      <c r="I9" s="98">
        <f t="shared" si="4"/>
        <v>7831</v>
      </c>
      <c r="J9" s="1">
        <v>7835</v>
      </c>
      <c r="K9" s="637">
        <f t="shared" si="5"/>
        <v>4</v>
      </c>
      <c r="L9" s="98">
        <f t="shared" si="6"/>
        <v>11854</v>
      </c>
      <c r="M9" s="1">
        <v>11854</v>
      </c>
      <c r="N9" s="637">
        <f t="shared" si="7"/>
        <v>0</v>
      </c>
      <c r="O9" s="98">
        <f t="shared" si="8"/>
        <v>19939</v>
      </c>
      <c r="P9" s="514">
        <v>19950</v>
      </c>
      <c r="Q9" s="637">
        <f t="shared" si="9"/>
        <v>11</v>
      </c>
      <c r="R9" s="331"/>
      <c r="S9" s="326">
        <f t="shared" si="16"/>
        <v>50144</v>
      </c>
      <c r="T9" s="515">
        <v>50202</v>
      </c>
      <c r="U9" s="638">
        <f t="shared" si="17"/>
        <v>58</v>
      </c>
      <c r="V9" s="326">
        <f t="shared" si="10"/>
        <v>70514</v>
      </c>
      <c r="W9" s="515">
        <v>70575</v>
      </c>
      <c r="X9" s="638">
        <f t="shared" si="18"/>
        <v>61</v>
      </c>
      <c r="Y9" s="326">
        <f t="shared" si="11"/>
        <v>79736</v>
      </c>
      <c r="Z9" s="515">
        <v>79783</v>
      </c>
      <c r="AA9" s="638">
        <f t="shared" si="19"/>
        <v>47</v>
      </c>
      <c r="AB9" s="326">
        <f t="shared" si="12"/>
        <v>13018</v>
      </c>
      <c r="AC9" s="641">
        <v>13029</v>
      </c>
      <c r="AD9" s="638">
        <f t="shared" si="20"/>
        <v>11</v>
      </c>
      <c r="AE9" s="326">
        <f t="shared" si="13"/>
        <v>16633</v>
      </c>
      <c r="AF9" s="516">
        <v>16659</v>
      </c>
      <c r="AG9" s="638">
        <f t="shared" si="21"/>
        <v>26</v>
      </c>
      <c r="AH9" s="326">
        <f t="shared" ref="AH9" si="25">AI9</f>
        <v>24349</v>
      </c>
      <c r="AI9" s="516">
        <v>24349</v>
      </c>
      <c r="AJ9" s="638">
        <f t="shared" si="23"/>
        <v>0</v>
      </c>
      <c r="AK9" s="419">
        <f t="shared" si="15"/>
        <v>15154</v>
      </c>
      <c r="AL9" s="515">
        <v>15154</v>
      </c>
      <c r="AM9" s="638">
        <f t="shared" si="22"/>
        <v>0</v>
      </c>
      <c r="AN9" s="522">
        <f t="shared" si="24"/>
        <v>203</v>
      </c>
    </row>
    <row r="10" spans="1:40" ht="23.1" customHeight="1">
      <c r="A10" s="58">
        <f>Gen!B15</f>
        <v>43895</v>
      </c>
      <c r="B10" s="4"/>
      <c r="C10" s="98">
        <f t="shared" si="0"/>
        <v>230263</v>
      </c>
      <c r="D10" s="1">
        <v>230440</v>
      </c>
      <c r="E10" s="59">
        <f t="shared" si="1"/>
        <v>177</v>
      </c>
      <c r="F10" s="98">
        <f t="shared" si="2"/>
        <v>38000</v>
      </c>
      <c r="G10" s="520">
        <v>38000</v>
      </c>
      <c r="H10" s="637">
        <f t="shared" si="3"/>
        <v>0</v>
      </c>
      <c r="I10" s="98">
        <f t="shared" si="4"/>
        <v>7835</v>
      </c>
      <c r="J10" s="1">
        <v>7838</v>
      </c>
      <c r="K10" s="637">
        <f t="shared" si="5"/>
        <v>3</v>
      </c>
      <c r="L10" s="98">
        <f t="shared" si="6"/>
        <v>11854</v>
      </c>
      <c r="M10" s="1">
        <v>11866</v>
      </c>
      <c r="N10" s="637">
        <f t="shared" si="7"/>
        <v>12</v>
      </c>
      <c r="O10" s="98">
        <f t="shared" si="8"/>
        <v>19950</v>
      </c>
      <c r="P10" s="514">
        <v>19968</v>
      </c>
      <c r="Q10" s="637">
        <f t="shared" si="9"/>
        <v>18</v>
      </c>
      <c r="R10" s="331"/>
      <c r="S10" s="326">
        <f t="shared" si="16"/>
        <v>50202</v>
      </c>
      <c r="T10" s="515">
        <v>50265</v>
      </c>
      <c r="U10" s="638">
        <f t="shared" si="17"/>
        <v>63</v>
      </c>
      <c r="V10" s="326">
        <f t="shared" si="10"/>
        <v>70575</v>
      </c>
      <c r="W10" s="515">
        <v>70647</v>
      </c>
      <c r="X10" s="638">
        <f t="shared" si="18"/>
        <v>72</v>
      </c>
      <c r="Y10" s="326">
        <f t="shared" si="11"/>
        <v>79783</v>
      </c>
      <c r="Z10" s="515">
        <v>79844</v>
      </c>
      <c r="AA10" s="638">
        <f t="shared" si="19"/>
        <v>61</v>
      </c>
      <c r="AB10" s="326">
        <f t="shared" si="12"/>
        <v>13029</v>
      </c>
      <c r="AC10" s="642">
        <v>13045</v>
      </c>
      <c r="AD10" s="638">
        <f t="shared" si="20"/>
        <v>16</v>
      </c>
      <c r="AE10" s="326">
        <f t="shared" si="13"/>
        <v>16659</v>
      </c>
      <c r="AF10" s="516">
        <v>16682</v>
      </c>
      <c r="AG10" s="638">
        <f t="shared" si="21"/>
        <v>23</v>
      </c>
      <c r="AH10" s="326">
        <f t="shared" si="14"/>
        <v>24349</v>
      </c>
      <c r="AI10" s="516">
        <v>24349</v>
      </c>
      <c r="AJ10" s="638">
        <f t="shared" si="23"/>
        <v>0</v>
      </c>
      <c r="AK10" s="419">
        <f t="shared" si="15"/>
        <v>15154</v>
      </c>
      <c r="AL10" s="515">
        <v>15154</v>
      </c>
      <c r="AM10" s="638">
        <f t="shared" si="22"/>
        <v>0</v>
      </c>
      <c r="AN10" s="522">
        <f t="shared" si="24"/>
        <v>235</v>
      </c>
    </row>
    <row r="11" spans="1:40" ht="23.1" customHeight="1">
      <c r="A11" s="58">
        <f>Gen!B16</f>
        <v>43896</v>
      </c>
      <c r="B11" s="4"/>
      <c r="C11" s="98">
        <f t="shared" si="0"/>
        <v>230440</v>
      </c>
      <c r="D11" s="1">
        <v>230631</v>
      </c>
      <c r="E11" s="59">
        <f t="shared" si="1"/>
        <v>191</v>
      </c>
      <c r="F11" s="98">
        <f t="shared" si="2"/>
        <v>38000</v>
      </c>
      <c r="G11" s="520">
        <v>38000</v>
      </c>
      <c r="H11" s="637">
        <f t="shared" si="3"/>
        <v>0</v>
      </c>
      <c r="I11" s="98">
        <f t="shared" si="4"/>
        <v>7838</v>
      </c>
      <c r="J11" s="1">
        <v>7842</v>
      </c>
      <c r="K11" s="637">
        <f t="shared" si="5"/>
        <v>4</v>
      </c>
      <c r="L11" s="98">
        <f t="shared" si="6"/>
        <v>11866</v>
      </c>
      <c r="M11" s="1">
        <v>11878</v>
      </c>
      <c r="N11" s="637">
        <f t="shared" si="7"/>
        <v>12</v>
      </c>
      <c r="O11" s="98">
        <f t="shared" si="8"/>
        <v>19968</v>
      </c>
      <c r="P11" s="514">
        <v>19980</v>
      </c>
      <c r="Q11" s="637">
        <f t="shared" si="9"/>
        <v>12</v>
      </c>
      <c r="R11" s="331"/>
      <c r="S11" s="326">
        <f t="shared" si="16"/>
        <v>50265</v>
      </c>
      <c r="T11" s="515">
        <v>50321</v>
      </c>
      <c r="U11" s="638">
        <f t="shared" si="17"/>
        <v>56</v>
      </c>
      <c r="V11" s="326">
        <f t="shared" si="10"/>
        <v>70647</v>
      </c>
      <c r="W11" s="515">
        <v>70713</v>
      </c>
      <c r="X11" s="638">
        <f t="shared" si="18"/>
        <v>66</v>
      </c>
      <c r="Y11" s="326">
        <f t="shared" si="11"/>
        <v>79844</v>
      </c>
      <c r="Z11" s="515">
        <v>79906</v>
      </c>
      <c r="AA11" s="638">
        <f t="shared" si="19"/>
        <v>62</v>
      </c>
      <c r="AB11" s="326">
        <f t="shared" si="12"/>
        <v>13045</v>
      </c>
      <c r="AC11" s="642">
        <v>13060</v>
      </c>
      <c r="AD11" s="638">
        <f t="shared" si="20"/>
        <v>15</v>
      </c>
      <c r="AE11" s="326">
        <f t="shared" si="13"/>
        <v>16682</v>
      </c>
      <c r="AF11" s="516">
        <v>16707</v>
      </c>
      <c r="AG11" s="638">
        <f t="shared" si="21"/>
        <v>25</v>
      </c>
      <c r="AH11" s="326">
        <f t="shared" si="14"/>
        <v>24349</v>
      </c>
      <c r="AI11" s="516">
        <v>24349</v>
      </c>
      <c r="AJ11" s="638">
        <f t="shared" si="23"/>
        <v>0</v>
      </c>
      <c r="AK11" s="419">
        <f t="shared" si="15"/>
        <v>15154</v>
      </c>
      <c r="AL11" s="515">
        <v>15154</v>
      </c>
      <c r="AM11" s="638">
        <f t="shared" si="22"/>
        <v>0</v>
      </c>
      <c r="AN11" s="522">
        <f t="shared" si="24"/>
        <v>224</v>
      </c>
    </row>
    <row r="12" spans="1:40" ht="23.1" customHeight="1">
      <c r="A12" s="58">
        <f>Gen!B17</f>
        <v>43897</v>
      </c>
      <c r="B12" s="4"/>
      <c r="C12" s="98">
        <f t="shared" si="0"/>
        <v>230631</v>
      </c>
      <c r="D12" s="1">
        <v>230799</v>
      </c>
      <c r="E12" s="59">
        <f t="shared" si="1"/>
        <v>168</v>
      </c>
      <c r="F12" s="98">
        <f t="shared" si="2"/>
        <v>38000</v>
      </c>
      <c r="G12" s="520">
        <v>38000</v>
      </c>
      <c r="H12" s="637">
        <f t="shared" si="3"/>
        <v>0</v>
      </c>
      <c r="I12" s="98">
        <f t="shared" si="4"/>
        <v>7842</v>
      </c>
      <c r="J12" s="1">
        <v>7845</v>
      </c>
      <c r="K12" s="637">
        <f t="shared" si="5"/>
        <v>3</v>
      </c>
      <c r="L12" s="98">
        <f t="shared" si="6"/>
        <v>11878</v>
      </c>
      <c r="M12" s="1">
        <v>11893</v>
      </c>
      <c r="N12" s="637">
        <f t="shared" si="7"/>
        <v>15</v>
      </c>
      <c r="O12" s="98">
        <f t="shared" si="8"/>
        <v>19980</v>
      </c>
      <c r="P12" s="514">
        <v>19992</v>
      </c>
      <c r="Q12" s="637">
        <f t="shared" si="9"/>
        <v>12</v>
      </c>
      <c r="R12" s="331"/>
      <c r="S12" s="326">
        <f t="shared" si="16"/>
        <v>50321</v>
      </c>
      <c r="T12" s="515">
        <v>50378</v>
      </c>
      <c r="U12" s="638">
        <f t="shared" si="17"/>
        <v>57</v>
      </c>
      <c r="V12" s="326">
        <f t="shared" si="10"/>
        <v>70713</v>
      </c>
      <c r="W12" s="515">
        <v>70769</v>
      </c>
      <c r="X12" s="638">
        <f t="shared" si="18"/>
        <v>56</v>
      </c>
      <c r="Y12" s="326">
        <f t="shared" si="11"/>
        <v>79906</v>
      </c>
      <c r="Z12" s="515">
        <v>79935</v>
      </c>
      <c r="AA12" s="638">
        <f t="shared" si="19"/>
        <v>29</v>
      </c>
      <c r="AB12" s="326">
        <f t="shared" si="12"/>
        <v>13060</v>
      </c>
      <c r="AC12" s="642">
        <v>13072</v>
      </c>
      <c r="AD12" s="638">
        <f t="shared" si="20"/>
        <v>12</v>
      </c>
      <c r="AE12" s="326">
        <f t="shared" si="13"/>
        <v>16707</v>
      </c>
      <c r="AF12" s="516">
        <v>16730</v>
      </c>
      <c r="AG12" s="638">
        <f t="shared" si="21"/>
        <v>23</v>
      </c>
      <c r="AH12" s="326">
        <f t="shared" si="14"/>
        <v>24349</v>
      </c>
      <c r="AI12" s="516">
        <v>24349</v>
      </c>
      <c r="AJ12" s="638">
        <f t="shared" si="23"/>
        <v>0</v>
      </c>
      <c r="AK12" s="419">
        <f t="shared" si="15"/>
        <v>15154</v>
      </c>
      <c r="AL12" s="515">
        <v>15154</v>
      </c>
      <c r="AM12" s="638">
        <f t="shared" si="22"/>
        <v>0</v>
      </c>
      <c r="AN12" s="522">
        <f t="shared" si="24"/>
        <v>177</v>
      </c>
    </row>
    <row r="13" spans="1:40" ht="23.1" customHeight="1">
      <c r="A13" s="58">
        <f>Gen!B18</f>
        <v>43898</v>
      </c>
      <c r="B13" s="4"/>
      <c r="C13" s="98">
        <f t="shared" si="0"/>
        <v>230799</v>
      </c>
      <c r="D13" s="1">
        <v>230930</v>
      </c>
      <c r="E13" s="59">
        <f t="shared" si="1"/>
        <v>131</v>
      </c>
      <c r="F13" s="98">
        <f t="shared" si="2"/>
        <v>38000</v>
      </c>
      <c r="G13" s="520">
        <v>38000</v>
      </c>
      <c r="H13" s="637">
        <f t="shared" si="3"/>
        <v>0</v>
      </c>
      <c r="I13" s="98">
        <f t="shared" si="4"/>
        <v>7845</v>
      </c>
      <c r="J13" s="1">
        <v>7848</v>
      </c>
      <c r="K13" s="637">
        <f t="shared" si="5"/>
        <v>3</v>
      </c>
      <c r="L13" s="98">
        <f t="shared" si="6"/>
        <v>11893</v>
      </c>
      <c r="M13" s="1">
        <v>11896</v>
      </c>
      <c r="N13" s="637">
        <f t="shared" si="7"/>
        <v>3</v>
      </c>
      <c r="O13" s="98">
        <f t="shared" si="8"/>
        <v>19992</v>
      </c>
      <c r="P13" s="514">
        <v>20010</v>
      </c>
      <c r="Q13" s="637">
        <f t="shared" si="9"/>
        <v>18</v>
      </c>
      <c r="R13" s="331"/>
      <c r="S13" s="326">
        <f t="shared" si="16"/>
        <v>50378</v>
      </c>
      <c r="T13" s="515">
        <v>50436</v>
      </c>
      <c r="U13" s="638">
        <f t="shared" si="17"/>
        <v>58</v>
      </c>
      <c r="V13" s="326">
        <f t="shared" si="10"/>
        <v>70769</v>
      </c>
      <c r="W13" s="515">
        <v>70831</v>
      </c>
      <c r="X13" s="638">
        <f t="shared" si="18"/>
        <v>62</v>
      </c>
      <c r="Y13" s="326">
        <f t="shared" si="11"/>
        <v>79935</v>
      </c>
      <c r="Z13" s="515">
        <v>79953</v>
      </c>
      <c r="AA13" s="638">
        <f t="shared" si="19"/>
        <v>18</v>
      </c>
      <c r="AB13" s="326">
        <f t="shared" si="12"/>
        <v>13072</v>
      </c>
      <c r="AC13" s="642">
        <v>13086</v>
      </c>
      <c r="AD13" s="638">
        <f t="shared" si="20"/>
        <v>14</v>
      </c>
      <c r="AE13" s="326">
        <f>AF12</f>
        <v>16730</v>
      </c>
      <c r="AF13" s="516">
        <v>16754</v>
      </c>
      <c r="AG13" s="638">
        <f t="shared" si="21"/>
        <v>24</v>
      </c>
      <c r="AH13" s="326">
        <f t="shared" si="14"/>
        <v>24349</v>
      </c>
      <c r="AI13" s="516">
        <v>24349</v>
      </c>
      <c r="AJ13" s="638">
        <f t="shared" si="23"/>
        <v>0</v>
      </c>
      <c r="AK13" s="419">
        <f t="shared" si="15"/>
        <v>15154</v>
      </c>
      <c r="AL13" s="515">
        <v>15154</v>
      </c>
      <c r="AM13" s="638">
        <f t="shared" si="22"/>
        <v>0</v>
      </c>
      <c r="AN13" s="522">
        <f t="shared" si="24"/>
        <v>176</v>
      </c>
    </row>
    <row r="14" spans="1:40" ht="23.1" customHeight="1">
      <c r="A14" s="58">
        <f>Gen!B19</f>
        <v>43899</v>
      </c>
      <c r="B14" s="4"/>
      <c r="C14" s="98">
        <f t="shared" si="0"/>
        <v>230930</v>
      </c>
      <c r="D14" s="1">
        <v>231047</v>
      </c>
      <c r="E14" s="59">
        <f t="shared" si="1"/>
        <v>117</v>
      </c>
      <c r="F14" s="98">
        <f t="shared" si="2"/>
        <v>38000</v>
      </c>
      <c r="G14" s="520">
        <v>38000</v>
      </c>
      <c r="H14" s="637">
        <f t="shared" si="3"/>
        <v>0</v>
      </c>
      <c r="I14" s="98">
        <f t="shared" si="4"/>
        <v>7848</v>
      </c>
      <c r="J14" s="1">
        <v>7851</v>
      </c>
      <c r="K14" s="637">
        <f t="shared" si="5"/>
        <v>3</v>
      </c>
      <c r="L14" s="98">
        <f t="shared" si="6"/>
        <v>11896</v>
      </c>
      <c r="M14" s="1">
        <v>11904</v>
      </c>
      <c r="N14" s="637">
        <f t="shared" si="7"/>
        <v>8</v>
      </c>
      <c r="O14" s="98">
        <f t="shared" si="8"/>
        <v>20010</v>
      </c>
      <c r="P14" s="514">
        <v>20019</v>
      </c>
      <c r="Q14" s="637">
        <f t="shared" si="9"/>
        <v>9</v>
      </c>
      <c r="R14" s="331"/>
      <c r="S14" s="326">
        <f t="shared" si="16"/>
        <v>50436</v>
      </c>
      <c r="T14" s="515">
        <v>50491</v>
      </c>
      <c r="U14" s="638">
        <f t="shared" si="17"/>
        <v>55</v>
      </c>
      <c r="V14" s="326">
        <f t="shared" si="10"/>
        <v>70831</v>
      </c>
      <c r="W14" s="515">
        <v>70891</v>
      </c>
      <c r="X14" s="638">
        <f t="shared" si="18"/>
        <v>60</v>
      </c>
      <c r="Y14" s="326">
        <f t="shared" si="11"/>
        <v>79953</v>
      </c>
      <c r="Z14" s="515">
        <v>80005</v>
      </c>
      <c r="AA14" s="638">
        <f t="shared" si="19"/>
        <v>52</v>
      </c>
      <c r="AB14" s="326">
        <f t="shared" si="12"/>
        <v>13086</v>
      </c>
      <c r="AC14" s="642">
        <v>13099</v>
      </c>
      <c r="AD14" s="638">
        <f t="shared" si="20"/>
        <v>13</v>
      </c>
      <c r="AE14" s="326">
        <f t="shared" si="13"/>
        <v>16754</v>
      </c>
      <c r="AF14" s="516">
        <v>16780</v>
      </c>
      <c r="AG14" s="638">
        <f t="shared" si="21"/>
        <v>26</v>
      </c>
      <c r="AH14" s="326">
        <f t="shared" si="14"/>
        <v>24349</v>
      </c>
      <c r="AI14" s="516">
        <v>24349</v>
      </c>
      <c r="AJ14" s="638">
        <f t="shared" si="23"/>
        <v>0</v>
      </c>
      <c r="AK14" s="419">
        <f t="shared" si="15"/>
        <v>15154</v>
      </c>
      <c r="AL14" s="515">
        <v>15154</v>
      </c>
      <c r="AM14" s="638">
        <f t="shared" si="22"/>
        <v>0</v>
      </c>
      <c r="AN14" s="522">
        <f t="shared" si="24"/>
        <v>206</v>
      </c>
    </row>
    <row r="15" spans="1:40" ht="23.1" customHeight="1">
      <c r="A15" s="58">
        <f>Gen!B20</f>
        <v>43900</v>
      </c>
      <c r="B15" s="4"/>
      <c r="C15" s="98">
        <f t="shared" si="0"/>
        <v>231047</v>
      </c>
      <c r="D15" s="1">
        <v>231176</v>
      </c>
      <c r="E15" s="59">
        <f t="shared" si="1"/>
        <v>129</v>
      </c>
      <c r="F15" s="98">
        <f t="shared" si="2"/>
        <v>38000</v>
      </c>
      <c r="G15" s="520">
        <v>38000</v>
      </c>
      <c r="H15" s="637">
        <f t="shared" si="3"/>
        <v>0</v>
      </c>
      <c r="I15" s="98">
        <f t="shared" si="4"/>
        <v>7851</v>
      </c>
      <c r="J15" s="1">
        <v>7854</v>
      </c>
      <c r="K15" s="637">
        <f t="shared" si="5"/>
        <v>3</v>
      </c>
      <c r="L15" s="98">
        <f t="shared" si="6"/>
        <v>11904</v>
      </c>
      <c r="M15" s="1">
        <v>11926</v>
      </c>
      <c r="N15" s="637">
        <f t="shared" si="7"/>
        <v>22</v>
      </c>
      <c r="O15" s="98">
        <f t="shared" si="8"/>
        <v>20019</v>
      </c>
      <c r="P15" s="514">
        <v>20029</v>
      </c>
      <c r="Q15" s="637">
        <f t="shared" si="9"/>
        <v>10</v>
      </c>
      <c r="R15" s="331"/>
      <c r="S15" s="326">
        <f t="shared" si="16"/>
        <v>50491</v>
      </c>
      <c r="T15" s="515">
        <v>50550</v>
      </c>
      <c r="U15" s="638">
        <f t="shared" si="17"/>
        <v>59</v>
      </c>
      <c r="V15" s="326">
        <f t="shared" si="10"/>
        <v>70891</v>
      </c>
      <c r="W15" s="515">
        <v>70954</v>
      </c>
      <c r="X15" s="638">
        <f t="shared" si="18"/>
        <v>63</v>
      </c>
      <c r="Y15" s="326">
        <f t="shared" si="11"/>
        <v>80005</v>
      </c>
      <c r="Z15" s="515">
        <v>80052</v>
      </c>
      <c r="AA15" s="638">
        <f t="shared" si="19"/>
        <v>47</v>
      </c>
      <c r="AB15" s="326">
        <f t="shared" si="12"/>
        <v>13099</v>
      </c>
      <c r="AC15" s="642">
        <v>13113</v>
      </c>
      <c r="AD15" s="638">
        <f t="shared" si="20"/>
        <v>14</v>
      </c>
      <c r="AE15" s="326">
        <f t="shared" si="13"/>
        <v>16780</v>
      </c>
      <c r="AF15" s="516">
        <v>16805</v>
      </c>
      <c r="AG15" s="638">
        <f t="shared" si="21"/>
        <v>25</v>
      </c>
      <c r="AH15" s="326">
        <f t="shared" si="14"/>
        <v>24349</v>
      </c>
      <c r="AI15" s="516">
        <v>24349</v>
      </c>
      <c r="AJ15" s="638">
        <f t="shared" si="23"/>
        <v>0</v>
      </c>
      <c r="AK15" s="419">
        <f t="shared" si="15"/>
        <v>15154</v>
      </c>
      <c r="AL15" s="515">
        <v>15154</v>
      </c>
      <c r="AM15" s="638">
        <f t="shared" si="22"/>
        <v>0</v>
      </c>
      <c r="AN15" s="522">
        <f t="shared" si="24"/>
        <v>208</v>
      </c>
    </row>
    <row r="16" spans="1:40" ht="23.1" customHeight="1">
      <c r="A16" s="58">
        <f>Gen!B21</f>
        <v>43901</v>
      </c>
      <c r="B16" s="4"/>
      <c r="C16" s="98">
        <f t="shared" si="0"/>
        <v>231176</v>
      </c>
      <c r="D16" s="1">
        <v>231275</v>
      </c>
      <c r="E16" s="59">
        <f t="shared" si="1"/>
        <v>99</v>
      </c>
      <c r="F16" s="98">
        <f t="shared" si="2"/>
        <v>38000</v>
      </c>
      <c r="G16" s="520">
        <v>38000</v>
      </c>
      <c r="H16" s="637">
        <f t="shared" si="3"/>
        <v>0</v>
      </c>
      <c r="I16" s="98">
        <f t="shared" si="4"/>
        <v>7854</v>
      </c>
      <c r="J16" s="1">
        <v>7857</v>
      </c>
      <c r="K16" s="637">
        <f t="shared" si="5"/>
        <v>3</v>
      </c>
      <c r="L16" s="98"/>
      <c r="M16" s="1">
        <v>11928</v>
      </c>
      <c r="N16" s="637">
        <f t="shared" si="7"/>
        <v>2</v>
      </c>
      <c r="O16" s="98">
        <f t="shared" si="8"/>
        <v>20029</v>
      </c>
      <c r="P16" s="514">
        <v>20041</v>
      </c>
      <c r="Q16" s="637">
        <f t="shared" si="9"/>
        <v>12</v>
      </c>
      <c r="R16" s="331"/>
      <c r="S16" s="326">
        <f t="shared" si="16"/>
        <v>50550</v>
      </c>
      <c r="T16" s="515">
        <v>50615</v>
      </c>
      <c r="U16" s="638">
        <f t="shared" si="17"/>
        <v>65</v>
      </c>
      <c r="V16" s="326">
        <f t="shared" si="10"/>
        <v>70954</v>
      </c>
      <c r="W16" s="515">
        <v>70983</v>
      </c>
      <c r="X16" s="638">
        <f t="shared" si="18"/>
        <v>29</v>
      </c>
      <c r="Y16" s="326">
        <f t="shared" si="11"/>
        <v>80052</v>
      </c>
      <c r="Z16" s="515">
        <v>80106</v>
      </c>
      <c r="AA16" s="638">
        <f t="shared" si="19"/>
        <v>54</v>
      </c>
      <c r="AB16" s="326">
        <f t="shared" si="12"/>
        <v>13113</v>
      </c>
      <c r="AC16" s="642">
        <v>13126</v>
      </c>
      <c r="AD16" s="638">
        <f t="shared" si="20"/>
        <v>13</v>
      </c>
      <c r="AE16" s="326">
        <f t="shared" si="13"/>
        <v>16805</v>
      </c>
      <c r="AF16" s="516">
        <v>16829</v>
      </c>
      <c r="AG16" s="638">
        <f t="shared" si="21"/>
        <v>24</v>
      </c>
      <c r="AH16" s="326">
        <f t="shared" si="14"/>
        <v>24349</v>
      </c>
      <c r="AI16" s="516">
        <v>24349</v>
      </c>
      <c r="AJ16" s="638">
        <f t="shared" si="23"/>
        <v>0</v>
      </c>
      <c r="AK16" s="419">
        <f t="shared" si="15"/>
        <v>15154</v>
      </c>
      <c r="AL16" s="515">
        <v>15154</v>
      </c>
      <c r="AM16" s="638">
        <f t="shared" si="22"/>
        <v>0</v>
      </c>
      <c r="AN16" s="522">
        <f t="shared" si="24"/>
        <v>185</v>
      </c>
    </row>
    <row r="17" spans="1:40" ht="23.1" customHeight="1">
      <c r="A17" s="58">
        <f>Gen!B22</f>
        <v>43902</v>
      </c>
      <c r="B17" s="4"/>
      <c r="C17" s="98">
        <f t="shared" si="0"/>
        <v>231275</v>
      </c>
      <c r="D17" s="1">
        <v>231352</v>
      </c>
      <c r="E17" s="637">
        <f>IF((D17-D16)&lt;0,"0",(D17-D16))</f>
        <v>77</v>
      </c>
      <c r="F17" s="98">
        <f t="shared" si="2"/>
        <v>38000</v>
      </c>
      <c r="G17" s="520">
        <v>38000</v>
      </c>
      <c r="H17" s="637">
        <f t="shared" si="3"/>
        <v>0</v>
      </c>
      <c r="I17" s="98">
        <f t="shared" si="4"/>
        <v>7857</v>
      </c>
      <c r="J17" s="1">
        <v>7860</v>
      </c>
      <c r="K17" s="637">
        <f t="shared" si="5"/>
        <v>3</v>
      </c>
      <c r="L17" s="98"/>
      <c r="M17" s="1">
        <v>11928</v>
      </c>
      <c r="N17" s="637">
        <f t="shared" si="7"/>
        <v>0</v>
      </c>
      <c r="O17" s="98">
        <f t="shared" si="8"/>
        <v>20041</v>
      </c>
      <c r="P17" s="514">
        <v>20045</v>
      </c>
      <c r="Q17" s="637">
        <f t="shared" si="9"/>
        <v>4</v>
      </c>
      <c r="R17" s="331"/>
      <c r="S17" s="326">
        <f t="shared" si="16"/>
        <v>50615</v>
      </c>
      <c r="T17" s="515">
        <v>50676</v>
      </c>
      <c r="U17" s="638">
        <f>IF((T17-T16)&lt;0,"0",(T17-T16))</f>
        <v>61</v>
      </c>
      <c r="V17" s="326">
        <f t="shared" si="10"/>
        <v>70983</v>
      </c>
      <c r="W17" s="515">
        <v>71010</v>
      </c>
      <c r="X17" s="638">
        <f>IF((W17-W16)&lt;0,"0",(W17-W16))</f>
        <v>27</v>
      </c>
      <c r="Y17" s="326">
        <f t="shared" si="11"/>
        <v>80106</v>
      </c>
      <c r="Z17" s="515">
        <v>80160</v>
      </c>
      <c r="AA17" s="638">
        <f>IF((Z17-Z16)&lt;0,"0",(Z17-Z16))</f>
        <v>54</v>
      </c>
      <c r="AB17" s="326">
        <f t="shared" si="12"/>
        <v>13126</v>
      </c>
      <c r="AC17" s="642">
        <v>13140</v>
      </c>
      <c r="AD17" s="638">
        <f>IF((AC17-AC16)&lt;0,"0",(AC17-AC16))</f>
        <v>14</v>
      </c>
      <c r="AE17" s="326">
        <f t="shared" si="13"/>
        <v>16829</v>
      </c>
      <c r="AF17" s="516">
        <v>16853</v>
      </c>
      <c r="AG17" s="638">
        <f>IF((AF17-AF16)&lt;0,"0",(AF17-AF16))</f>
        <v>24</v>
      </c>
      <c r="AH17" s="326">
        <f t="shared" si="14"/>
        <v>24349</v>
      </c>
      <c r="AI17" s="516">
        <v>24349</v>
      </c>
      <c r="AJ17" s="638">
        <f t="shared" si="23"/>
        <v>24</v>
      </c>
      <c r="AK17" s="419">
        <f t="shared" si="15"/>
        <v>15154</v>
      </c>
      <c r="AL17" s="515">
        <v>15154</v>
      </c>
      <c r="AM17" s="638">
        <f>IF((AL17-AL16)&lt;0,"0",(AL17-AL16))</f>
        <v>0</v>
      </c>
      <c r="AN17" s="522">
        <f t="shared" si="24"/>
        <v>204</v>
      </c>
    </row>
    <row r="18" spans="1:40" ht="23.1" customHeight="1">
      <c r="A18" s="58">
        <f>Gen!B23</f>
        <v>43903</v>
      </c>
      <c r="B18" s="4"/>
      <c r="C18" s="98">
        <f t="shared" si="0"/>
        <v>231352</v>
      </c>
      <c r="D18" s="1">
        <v>231421</v>
      </c>
      <c r="E18" s="637">
        <f t="shared" ref="E18:E37" si="26">IF((D18-D17)&lt;0,"0",(D18-D17))</f>
        <v>69</v>
      </c>
      <c r="F18" s="98">
        <f t="shared" si="2"/>
        <v>38000</v>
      </c>
      <c r="G18" s="520">
        <v>38000</v>
      </c>
      <c r="H18" s="637">
        <f t="shared" si="3"/>
        <v>0</v>
      </c>
      <c r="I18" s="98"/>
      <c r="J18" s="1">
        <v>7863</v>
      </c>
      <c r="K18" s="637">
        <f t="shared" si="5"/>
        <v>3</v>
      </c>
      <c r="L18" s="98">
        <f t="shared" si="6"/>
        <v>11928</v>
      </c>
      <c r="M18" s="1">
        <v>11928</v>
      </c>
      <c r="N18" s="637">
        <f t="shared" si="7"/>
        <v>0</v>
      </c>
      <c r="O18" s="98">
        <f t="shared" si="8"/>
        <v>20045</v>
      </c>
      <c r="P18" s="514">
        <v>20046</v>
      </c>
      <c r="Q18" s="637">
        <f t="shared" si="9"/>
        <v>1</v>
      </c>
      <c r="R18" s="331"/>
      <c r="S18" s="326">
        <f t="shared" si="16"/>
        <v>50676</v>
      </c>
      <c r="T18" s="515">
        <v>50739</v>
      </c>
      <c r="U18" s="638">
        <f t="shared" si="17"/>
        <v>63</v>
      </c>
      <c r="V18" s="326">
        <f t="shared" si="10"/>
        <v>71010</v>
      </c>
      <c r="W18" s="515">
        <v>71010</v>
      </c>
      <c r="X18" s="638">
        <f t="shared" si="18"/>
        <v>0</v>
      </c>
      <c r="Y18" s="326">
        <f t="shared" si="11"/>
        <v>80160</v>
      </c>
      <c r="Z18" s="515">
        <v>80218</v>
      </c>
      <c r="AA18" s="638">
        <f t="shared" si="19"/>
        <v>58</v>
      </c>
      <c r="AB18" s="326">
        <f t="shared" si="12"/>
        <v>13140</v>
      </c>
      <c r="AC18" s="642">
        <v>13154</v>
      </c>
      <c r="AD18" s="638">
        <f t="shared" si="20"/>
        <v>14</v>
      </c>
      <c r="AE18" s="326">
        <f t="shared" si="13"/>
        <v>16853</v>
      </c>
      <c r="AF18" s="516">
        <v>16876</v>
      </c>
      <c r="AG18" s="638">
        <f t="shared" si="21"/>
        <v>23</v>
      </c>
      <c r="AH18" s="326">
        <f t="shared" si="14"/>
        <v>24349</v>
      </c>
      <c r="AI18" s="516">
        <v>24373</v>
      </c>
      <c r="AJ18" s="638">
        <f t="shared" si="23"/>
        <v>46</v>
      </c>
      <c r="AK18" s="419">
        <f t="shared" si="15"/>
        <v>15154</v>
      </c>
      <c r="AL18" s="515">
        <v>15154</v>
      </c>
      <c r="AM18" s="638">
        <f t="shared" ref="AM18:AM26" si="27">IF((AL18-AL17)&lt;0,"0",(AL18-AL17))</f>
        <v>0</v>
      </c>
      <c r="AN18" s="522">
        <f t="shared" si="24"/>
        <v>204</v>
      </c>
    </row>
    <row r="19" spans="1:40" ht="23.1" customHeight="1">
      <c r="A19" s="58">
        <f>Gen!B24</f>
        <v>43904</v>
      </c>
      <c r="B19" s="4"/>
      <c r="C19" s="98">
        <f t="shared" si="0"/>
        <v>231421</v>
      </c>
      <c r="D19" s="1">
        <v>231493</v>
      </c>
      <c r="E19" s="637">
        <f t="shared" si="26"/>
        <v>72</v>
      </c>
      <c r="F19" s="98">
        <f t="shared" si="2"/>
        <v>38000</v>
      </c>
      <c r="G19" s="520">
        <v>38000</v>
      </c>
      <c r="H19" s="637">
        <f t="shared" si="3"/>
        <v>0</v>
      </c>
      <c r="I19" s="98">
        <f t="shared" si="4"/>
        <v>7863</v>
      </c>
      <c r="J19" s="1">
        <v>7865</v>
      </c>
      <c r="K19" s="637">
        <f t="shared" si="5"/>
        <v>2</v>
      </c>
      <c r="L19" s="98">
        <f t="shared" si="6"/>
        <v>11928</v>
      </c>
      <c r="M19" s="1">
        <v>11932</v>
      </c>
      <c r="N19" s="637">
        <f t="shared" si="7"/>
        <v>4</v>
      </c>
      <c r="O19" s="98">
        <f t="shared" si="8"/>
        <v>20046</v>
      </c>
      <c r="P19" s="514">
        <v>20053</v>
      </c>
      <c r="Q19" s="637">
        <f t="shared" si="9"/>
        <v>7</v>
      </c>
      <c r="R19" s="331"/>
      <c r="S19" s="326">
        <f t="shared" si="16"/>
        <v>50739</v>
      </c>
      <c r="T19" s="515">
        <v>50797</v>
      </c>
      <c r="U19" s="638">
        <f t="shared" si="17"/>
        <v>58</v>
      </c>
      <c r="V19" s="326">
        <f t="shared" si="10"/>
        <v>71010</v>
      </c>
      <c r="W19" s="515">
        <v>71010</v>
      </c>
      <c r="X19" s="638">
        <f t="shared" si="18"/>
        <v>0</v>
      </c>
      <c r="Y19" s="326">
        <f t="shared" si="11"/>
        <v>80218</v>
      </c>
      <c r="Z19" s="515">
        <v>80273</v>
      </c>
      <c r="AA19" s="638">
        <f t="shared" si="19"/>
        <v>55</v>
      </c>
      <c r="AB19" s="326">
        <f t="shared" si="12"/>
        <v>13154</v>
      </c>
      <c r="AC19" s="642">
        <v>13168</v>
      </c>
      <c r="AD19" s="638">
        <f t="shared" si="20"/>
        <v>14</v>
      </c>
      <c r="AE19" s="326">
        <f t="shared" si="13"/>
        <v>16876</v>
      </c>
      <c r="AF19" s="516">
        <v>16903</v>
      </c>
      <c r="AG19" s="638">
        <f t="shared" si="21"/>
        <v>27</v>
      </c>
      <c r="AH19" s="326">
        <f t="shared" si="14"/>
        <v>24373</v>
      </c>
      <c r="AI19" s="516">
        <v>24395</v>
      </c>
      <c r="AJ19" s="638">
        <f t="shared" si="23"/>
        <v>44</v>
      </c>
      <c r="AK19" s="419">
        <f t="shared" si="15"/>
        <v>15154</v>
      </c>
      <c r="AL19" s="515">
        <v>15154</v>
      </c>
      <c r="AM19" s="638">
        <f t="shared" si="27"/>
        <v>0</v>
      </c>
      <c r="AN19" s="522">
        <f t="shared" si="24"/>
        <v>198</v>
      </c>
    </row>
    <row r="20" spans="1:40" ht="23.1" customHeight="1">
      <c r="A20" s="58">
        <f>Gen!B25</f>
        <v>43905</v>
      </c>
      <c r="B20" s="4"/>
      <c r="C20" s="98">
        <f t="shared" si="0"/>
        <v>231493</v>
      </c>
      <c r="D20" s="1">
        <v>231585</v>
      </c>
      <c r="E20" s="637">
        <f t="shared" si="26"/>
        <v>92</v>
      </c>
      <c r="F20" s="98">
        <f t="shared" si="2"/>
        <v>38000</v>
      </c>
      <c r="G20" s="520">
        <v>38000</v>
      </c>
      <c r="H20" s="637">
        <f t="shared" si="3"/>
        <v>0</v>
      </c>
      <c r="I20" s="98">
        <f t="shared" si="4"/>
        <v>7865</v>
      </c>
      <c r="J20" s="1">
        <v>7867</v>
      </c>
      <c r="K20" s="637">
        <f t="shared" si="5"/>
        <v>2</v>
      </c>
      <c r="L20" s="98">
        <f t="shared" si="6"/>
        <v>11932</v>
      </c>
      <c r="M20" s="1">
        <v>11932</v>
      </c>
      <c r="N20" s="637">
        <f t="shared" si="7"/>
        <v>0</v>
      </c>
      <c r="O20" s="98">
        <f t="shared" si="8"/>
        <v>20053</v>
      </c>
      <c r="P20" s="514">
        <v>20062</v>
      </c>
      <c r="Q20" s="637">
        <f t="shared" si="9"/>
        <v>9</v>
      </c>
      <c r="R20" s="331"/>
      <c r="S20" s="326">
        <f t="shared" si="16"/>
        <v>50797</v>
      </c>
      <c r="T20" s="515">
        <v>50851</v>
      </c>
      <c r="U20" s="638">
        <f t="shared" si="17"/>
        <v>54</v>
      </c>
      <c r="V20" s="326">
        <f t="shared" si="10"/>
        <v>71010</v>
      </c>
      <c r="W20" s="515">
        <v>71010</v>
      </c>
      <c r="X20" s="638">
        <f t="shared" si="18"/>
        <v>0</v>
      </c>
      <c r="Y20" s="326">
        <f t="shared" si="11"/>
        <v>80273</v>
      </c>
      <c r="Z20" s="515">
        <v>80327</v>
      </c>
      <c r="AA20" s="638">
        <f t="shared" si="19"/>
        <v>54</v>
      </c>
      <c r="AB20" s="326">
        <f t="shared" si="12"/>
        <v>13168</v>
      </c>
      <c r="AC20" s="642">
        <v>13182</v>
      </c>
      <c r="AD20" s="638">
        <f t="shared" si="20"/>
        <v>14</v>
      </c>
      <c r="AE20" s="326">
        <f t="shared" si="13"/>
        <v>16903</v>
      </c>
      <c r="AF20" s="516">
        <v>16926</v>
      </c>
      <c r="AG20" s="638">
        <f t="shared" si="21"/>
        <v>23</v>
      </c>
      <c r="AH20" s="326">
        <f t="shared" si="14"/>
        <v>24395</v>
      </c>
      <c r="AI20" s="516">
        <v>24417</v>
      </c>
      <c r="AJ20" s="638">
        <f t="shared" si="23"/>
        <v>35</v>
      </c>
      <c r="AK20" s="419">
        <f t="shared" si="15"/>
        <v>15154</v>
      </c>
      <c r="AL20" s="515">
        <v>15154</v>
      </c>
      <c r="AM20" s="638">
        <f t="shared" si="27"/>
        <v>0</v>
      </c>
      <c r="AN20" s="522">
        <f t="shared" si="24"/>
        <v>180</v>
      </c>
    </row>
    <row r="21" spans="1:40" ht="23.1" customHeight="1">
      <c r="A21" s="58">
        <f>Gen!B26</f>
        <v>43906</v>
      </c>
      <c r="B21" s="4"/>
      <c r="C21" s="98">
        <f t="shared" si="0"/>
        <v>231585</v>
      </c>
      <c r="D21" s="1">
        <v>231675</v>
      </c>
      <c r="E21" s="637">
        <f t="shared" si="26"/>
        <v>90</v>
      </c>
      <c r="F21" s="98">
        <f t="shared" si="2"/>
        <v>38000</v>
      </c>
      <c r="G21" s="520">
        <v>38000</v>
      </c>
      <c r="H21" s="637">
        <f t="shared" si="3"/>
        <v>0</v>
      </c>
      <c r="I21" s="98">
        <f t="shared" si="4"/>
        <v>7867</v>
      </c>
      <c r="J21" s="1">
        <v>7869</v>
      </c>
      <c r="K21" s="637">
        <f t="shared" si="5"/>
        <v>2</v>
      </c>
      <c r="L21" s="98">
        <f t="shared" si="6"/>
        <v>11932</v>
      </c>
      <c r="M21" s="1">
        <v>11939</v>
      </c>
      <c r="N21" s="637">
        <f t="shared" si="7"/>
        <v>7</v>
      </c>
      <c r="O21" s="98">
        <f t="shared" si="8"/>
        <v>20062</v>
      </c>
      <c r="P21" s="514">
        <v>20069</v>
      </c>
      <c r="Q21" s="637">
        <f t="shared" si="9"/>
        <v>7</v>
      </c>
      <c r="R21" s="331"/>
      <c r="S21" s="326">
        <f t="shared" si="16"/>
        <v>50851</v>
      </c>
      <c r="T21" s="515">
        <v>50916</v>
      </c>
      <c r="U21" s="638">
        <f t="shared" si="17"/>
        <v>65</v>
      </c>
      <c r="V21" s="326">
        <f t="shared" ref="V21:V37" si="28">W20</f>
        <v>71010</v>
      </c>
      <c r="W21" s="515">
        <v>71010</v>
      </c>
      <c r="X21" s="638">
        <f t="shared" si="18"/>
        <v>0</v>
      </c>
      <c r="Y21" s="326">
        <f t="shared" si="11"/>
        <v>80327</v>
      </c>
      <c r="Z21" s="515">
        <v>80332</v>
      </c>
      <c r="AA21" s="638">
        <f t="shared" si="19"/>
        <v>5</v>
      </c>
      <c r="AB21" s="326">
        <f t="shared" si="12"/>
        <v>13182</v>
      </c>
      <c r="AC21" s="642">
        <v>13184</v>
      </c>
      <c r="AD21" s="638">
        <f t="shared" si="20"/>
        <v>2</v>
      </c>
      <c r="AE21" s="326">
        <f t="shared" si="13"/>
        <v>16926</v>
      </c>
      <c r="AF21" s="516">
        <v>16949</v>
      </c>
      <c r="AG21" s="638">
        <f t="shared" si="21"/>
        <v>23</v>
      </c>
      <c r="AH21" s="326">
        <f t="shared" si="14"/>
        <v>24417</v>
      </c>
      <c r="AI21" s="516">
        <v>24430</v>
      </c>
      <c r="AJ21" s="638">
        <f t="shared" si="23"/>
        <v>13</v>
      </c>
      <c r="AK21" s="419">
        <f t="shared" si="15"/>
        <v>15154</v>
      </c>
      <c r="AL21" s="515">
        <v>15154</v>
      </c>
      <c r="AM21" s="638">
        <f t="shared" si="27"/>
        <v>0</v>
      </c>
      <c r="AN21" s="522">
        <f t="shared" si="24"/>
        <v>108</v>
      </c>
    </row>
    <row r="22" spans="1:40" ht="23.1" customHeight="1">
      <c r="A22" s="58">
        <f>Gen!B27</f>
        <v>43907</v>
      </c>
      <c r="B22" s="4"/>
      <c r="C22" s="98">
        <f t="shared" si="0"/>
        <v>231675</v>
      </c>
      <c r="D22" s="1">
        <v>231747</v>
      </c>
      <c r="E22" s="637">
        <f t="shared" si="26"/>
        <v>72</v>
      </c>
      <c r="F22" s="98">
        <f t="shared" si="2"/>
        <v>38000</v>
      </c>
      <c r="G22" s="520">
        <v>38000</v>
      </c>
      <c r="H22" s="637">
        <f t="shared" si="3"/>
        <v>0</v>
      </c>
      <c r="I22" s="98">
        <f t="shared" si="4"/>
        <v>7869</v>
      </c>
      <c r="J22" s="1">
        <v>7871</v>
      </c>
      <c r="K22" s="637">
        <f t="shared" si="5"/>
        <v>2</v>
      </c>
      <c r="L22" s="98">
        <f t="shared" si="6"/>
        <v>11939</v>
      </c>
      <c r="M22" s="1">
        <v>11939</v>
      </c>
      <c r="N22" s="637">
        <f t="shared" si="7"/>
        <v>0</v>
      </c>
      <c r="O22" s="98">
        <f t="shared" si="8"/>
        <v>20069</v>
      </c>
      <c r="P22" s="514">
        <v>20073</v>
      </c>
      <c r="Q22" s="637">
        <f t="shared" si="9"/>
        <v>4</v>
      </c>
      <c r="R22" s="331"/>
      <c r="S22" s="326">
        <f t="shared" si="16"/>
        <v>50916</v>
      </c>
      <c r="T22" s="515">
        <v>50965</v>
      </c>
      <c r="U22" s="638">
        <f t="shared" si="17"/>
        <v>49</v>
      </c>
      <c r="V22" s="326">
        <f t="shared" si="28"/>
        <v>71010</v>
      </c>
      <c r="W22" s="515">
        <v>71010</v>
      </c>
      <c r="X22" s="638">
        <f t="shared" si="18"/>
        <v>0</v>
      </c>
      <c r="Y22" s="326">
        <f t="shared" si="11"/>
        <v>80332</v>
      </c>
      <c r="Z22" s="515">
        <v>80332</v>
      </c>
      <c r="AA22" s="638">
        <f t="shared" si="19"/>
        <v>0</v>
      </c>
      <c r="AB22" s="326">
        <f t="shared" si="12"/>
        <v>13184</v>
      </c>
      <c r="AC22" s="642">
        <v>13184</v>
      </c>
      <c r="AD22" s="638">
        <f t="shared" si="20"/>
        <v>0</v>
      </c>
      <c r="AE22" s="326">
        <f t="shared" si="13"/>
        <v>16949</v>
      </c>
      <c r="AF22" s="516">
        <v>16976</v>
      </c>
      <c r="AG22" s="638">
        <f t="shared" si="21"/>
        <v>27</v>
      </c>
      <c r="AH22" s="326">
        <f t="shared" si="14"/>
        <v>24430</v>
      </c>
      <c r="AI22" s="516">
        <v>24430</v>
      </c>
      <c r="AJ22" s="638">
        <f t="shared" si="23"/>
        <v>0</v>
      </c>
      <c r="AK22" s="419">
        <f t="shared" si="15"/>
        <v>15154</v>
      </c>
      <c r="AL22" s="515">
        <v>15154</v>
      </c>
      <c r="AM22" s="638">
        <f t="shared" si="27"/>
        <v>0</v>
      </c>
      <c r="AN22" s="522">
        <f t="shared" si="24"/>
        <v>76</v>
      </c>
    </row>
    <row r="23" spans="1:40" ht="23.1" customHeight="1">
      <c r="A23" s="58">
        <f>Gen!B28</f>
        <v>43908</v>
      </c>
      <c r="B23" s="4"/>
      <c r="C23" s="98">
        <f t="shared" si="0"/>
        <v>231747</v>
      </c>
      <c r="D23" s="1">
        <v>231804</v>
      </c>
      <c r="E23" s="637">
        <f t="shared" si="26"/>
        <v>57</v>
      </c>
      <c r="F23" s="98">
        <f t="shared" si="2"/>
        <v>38000</v>
      </c>
      <c r="G23" s="520">
        <v>38000</v>
      </c>
      <c r="H23" s="637">
        <f t="shared" si="3"/>
        <v>0</v>
      </c>
      <c r="I23" s="98">
        <f t="shared" si="4"/>
        <v>7871</v>
      </c>
      <c r="J23" s="1">
        <v>7874</v>
      </c>
      <c r="K23" s="637">
        <f t="shared" si="5"/>
        <v>3</v>
      </c>
      <c r="L23" s="98">
        <f t="shared" si="6"/>
        <v>11939</v>
      </c>
      <c r="M23" s="1">
        <v>11939</v>
      </c>
      <c r="N23" s="637">
        <f t="shared" si="7"/>
        <v>0</v>
      </c>
      <c r="O23" s="98">
        <f t="shared" si="8"/>
        <v>20073</v>
      </c>
      <c r="P23" s="514">
        <v>20075</v>
      </c>
      <c r="Q23" s="637">
        <f t="shared" si="9"/>
        <v>2</v>
      </c>
      <c r="R23" s="331"/>
      <c r="S23" s="326">
        <f t="shared" si="16"/>
        <v>50965</v>
      </c>
      <c r="T23" s="515">
        <v>51013</v>
      </c>
      <c r="U23" s="638">
        <f t="shared" si="17"/>
        <v>48</v>
      </c>
      <c r="V23" s="326">
        <f t="shared" si="28"/>
        <v>71010</v>
      </c>
      <c r="W23" s="515">
        <v>71010</v>
      </c>
      <c r="X23" s="638">
        <f t="shared" si="18"/>
        <v>0</v>
      </c>
      <c r="Y23" s="326">
        <f t="shared" si="11"/>
        <v>80332</v>
      </c>
      <c r="Z23" s="515">
        <v>80332</v>
      </c>
      <c r="AA23" s="638">
        <f t="shared" si="19"/>
        <v>0</v>
      </c>
      <c r="AB23" s="326">
        <f t="shared" si="12"/>
        <v>13184</v>
      </c>
      <c r="AC23" s="642">
        <v>13184</v>
      </c>
      <c r="AD23" s="638">
        <f t="shared" si="20"/>
        <v>0</v>
      </c>
      <c r="AE23" s="326">
        <f t="shared" si="13"/>
        <v>16976</v>
      </c>
      <c r="AF23" s="516">
        <v>17001</v>
      </c>
      <c r="AG23" s="638">
        <f t="shared" si="21"/>
        <v>25</v>
      </c>
      <c r="AH23" s="326">
        <f t="shared" si="14"/>
        <v>24430</v>
      </c>
      <c r="AI23" s="516">
        <v>24430</v>
      </c>
      <c r="AJ23" s="638">
        <f t="shared" si="23"/>
        <v>0</v>
      </c>
      <c r="AK23" s="419">
        <f t="shared" si="15"/>
        <v>15154</v>
      </c>
      <c r="AL23" s="515">
        <v>15154</v>
      </c>
      <c r="AM23" s="638">
        <f t="shared" si="27"/>
        <v>0</v>
      </c>
      <c r="AN23" s="522">
        <f t="shared" si="24"/>
        <v>73</v>
      </c>
    </row>
    <row r="24" spans="1:40" ht="23.1" customHeight="1">
      <c r="A24" s="58">
        <f>Gen!B29</f>
        <v>43909</v>
      </c>
      <c r="B24" s="4"/>
      <c r="C24" s="98">
        <f t="shared" si="0"/>
        <v>231804</v>
      </c>
      <c r="D24" s="1">
        <v>231876</v>
      </c>
      <c r="E24" s="637">
        <f t="shared" si="26"/>
        <v>72</v>
      </c>
      <c r="F24" s="98">
        <f t="shared" si="2"/>
        <v>38000</v>
      </c>
      <c r="G24" s="520">
        <v>38000</v>
      </c>
      <c r="H24" s="637">
        <f t="shared" si="3"/>
        <v>0</v>
      </c>
      <c r="I24" s="98">
        <f t="shared" si="4"/>
        <v>7874</v>
      </c>
      <c r="J24" s="1">
        <v>7875</v>
      </c>
      <c r="K24" s="637">
        <f t="shared" si="5"/>
        <v>1</v>
      </c>
      <c r="L24" s="98">
        <f t="shared" si="6"/>
        <v>11939</v>
      </c>
      <c r="M24" s="1">
        <v>11953</v>
      </c>
      <c r="N24" s="637">
        <f t="shared" si="7"/>
        <v>14</v>
      </c>
      <c r="O24" s="98">
        <f t="shared" si="8"/>
        <v>20075</v>
      </c>
      <c r="P24" s="514">
        <v>20078</v>
      </c>
      <c r="Q24" s="637">
        <f t="shared" si="9"/>
        <v>3</v>
      </c>
      <c r="R24" s="331"/>
      <c r="S24" s="326">
        <f t="shared" si="16"/>
        <v>51013</v>
      </c>
      <c r="T24" s="515">
        <v>51061</v>
      </c>
      <c r="U24" s="638">
        <f t="shared" si="17"/>
        <v>48</v>
      </c>
      <c r="V24" s="326">
        <f t="shared" si="28"/>
        <v>71010</v>
      </c>
      <c r="W24" s="515">
        <v>71010</v>
      </c>
      <c r="X24" s="638">
        <f t="shared" si="18"/>
        <v>0</v>
      </c>
      <c r="Y24" s="326">
        <f t="shared" si="11"/>
        <v>80332</v>
      </c>
      <c r="Z24" s="515">
        <v>80332</v>
      </c>
      <c r="AA24" s="638">
        <f t="shared" si="19"/>
        <v>0</v>
      </c>
      <c r="AB24" s="326">
        <f t="shared" si="12"/>
        <v>13184</v>
      </c>
      <c r="AC24" s="642">
        <v>13184</v>
      </c>
      <c r="AD24" s="638">
        <f t="shared" si="20"/>
        <v>0</v>
      </c>
      <c r="AE24" s="326">
        <f t="shared" si="13"/>
        <v>17001</v>
      </c>
      <c r="AF24" s="516">
        <v>17025</v>
      </c>
      <c r="AG24" s="638">
        <f t="shared" si="21"/>
        <v>24</v>
      </c>
      <c r="AH24" s="326">
        <f t="shared" si="14"/>
        <v>24430</v>
      </c>
      <c r="AI24" s="516">
        <v>24430</v>
      </c>
      <c r="AJ24" s="638">
        <f t="shared" si="23"/>
        <v>26</v>
      </c>
      <c r="AK24" s="419">
        <f t="shared" si="15"/>
        <v>15154</v>
      </c>
      <c r="AL24" s="515">
        <v>15154</v>
      </c>
      <c r="AM24" s="638">
        <f t="shared" si="27"/>
        <v>0</v>
      </c>
      <c r="AN24" s="522">
        <f t="shared" si="24"/>
        <v>98</v>
      </c>
    </row>
    <row r="25" spans="1:40" ht="23.1" customHeight="1">
      <c r="A25" s="58">
        <f>Gen!B30</f>
        <v>43910</v>
      </c>
      <c r="B25" s="4"/>
      <c r="C25" s="98">
        <f>D24</f>
        <v>231876</v>
      </c>
      <c r="D25" s="1">
        <v>231941</v>
      </c>
      <c r="E25" s="637">
        <f t="shared" si="26"/>
        <v>65</v>
      </c>
      <c r="F25" s="98">
        <f t="shared" si="2"/>
        <v>38000</v>
      </c>
      <c r="G25" s="520">
        <v>38000</v>
      </c>
      <c r="H25" s="637">
        <f t="shared" si="3"/>
        <v>0</v>
      </c>
      <c r="I25" s="98">
        <f t="shared" ref="I25:I37" si="29">J24</f>
        <v>7875</v>
      </c>
      <c r="J25" s="1">
        <v>7877</v>
      </c>
      <c r="K25" s="637">
        <f t="shared" ref="K25:K37" si="30">IF((J25-J24)&lt;0,"0",(J25-J24))</f>
        <v>2</v>
      </c>
      <c r="L25" s="98">
        <f t="shared" ref="L25:L37" si="31">M24</f>
        <v>11953</v>
      </c>
      <c r="M25" s="1">
        <v>11953</v>
      </c>
      <c r="N25" s="637">
        <f t="shared" ref="N25:N37" si="32">IF((M25-M24)&lt;0,"0",(M25-M24))</f>
        <v>0</v>
      </c>
      <c r="O25" s="98">
        <f t="shared" ref="O25:O37" si="33">P24</f>
        <v>20078</v>
      </c>
      <c r="P25" s="514">
        <v>20081</v>
      </c>
      <c r="Q25" s="637">
        <f t="shared" ref="Q25:Q37" si="34">IF((P25-P24)&lt;0,"0",(P25-P24))</f>
        <v>3</v>
      </c>
      <c r="R25" s="331"/>
      <c r="S25" s="326">
        <f t="shared" ref="S25:S37" si="35">T24</f>
        <v>51061</v>
      </c>
      <c r="T25" s="515">
        <v>51110</v>
      </c>
      <c r="U25" s="638">
        <f t="shared" si="17"/>
        <v>49</v>
      </c>
      <c r="V25" s="326">
        <f t="shared" si="28"/>
        <v>71010</v>
      </c>
      <c r="W25" s="515">
        <v>71010</v>
      </c>
      <c r="X25" s="638">
        <f t="shared" si="18"/>
        <v>0</v>
      </c>
      <c r="Y25" s="326">
        <f t="shared" si="11"/>
        <v>80332</v>
      </c>
      <c r="Z25" s="515">
        <v>80332</v>
      </c>
      <c r="AA25" s="638">
        <f t="shared" si="19"/>
        <v>0</v>
      </c>
      <c r="AB25" s="326">
        <f t="shared" si="12"/>
        <v>13184</v>
      </c>
      <c r="AC25" s="642">
        <v>13184</v>
      </c>
      <c r="AD25" s="638">
        <f t="shared" si="20"/>
        <v>0</v>
      </c>
      <c r="AE25" s="326">
        <f t="shared" si="13"/>
        <v>17025</v>
      </c>
      <c r="AF25" s="516">
        <v>17050</v>
      </c>
      <c r="AG25" s="638">
        <f t="shared" si="21"/>
        <v>25</v>
      </c>
      <c r="AH25" s="326">
        <f t="shared" si="14"/>
        <v>24430</v>
      </c>
      <c r="AI25" s="516">
        <v>24456</v>
      </c>
      <c r="AJ25" s="638">
        <f t="shared" si="23"/>
        <v>49</v>
      </c>
      <c r="AK25" s="419">
        <f t="shared" si="15"/>
        <v>15154</v>
      </c>
      <c r="AL25" s="515">
        <v>15154</v>
      </c>
      <c r="AM25" s="638">
        <f t="shared" si="27"/>
        <v>0</v>
      </c>
      <c r="AN25" s="522">
        <f t="shared" si="24"/>
        <v>123</v>
      </c>
    </row>
    <row r="26" spans="1:40" ht="23.1" customHeight="1">
      <c r="A26" s="58">
        <f>Gen!B31</f>
        <v>43911</v>
      </c>
      <c r="B26" s="4"/>
      <c r="C26" s="98">
        <f>D25</f>
        <v>231941</v>
      </c>
      <c r="D26" s="1">
        <v>232008</v>
      </c>
      <c r="E26" s="637">
        <f t="shared" si="26"/>
        <v>67</v>
      </c>
      <c r="F26" s="98">
        <f t="shared" si="2"/>
        <v>38000</v>
      </c>
      <c r="G26" s="520">
        <v>38000</v>
      </c>
      <c r="H26" s="637">
        <f t="shared" ref="H26:H37" si="36">IF((G26-G25)&lt;0,"0",(G26-G25))</f>
        <v>0</v>
      </c>
      <c r="I26" s="98">
        <f t="shared" si="29"/>
        <v>7877</v>
      </c>
      <c r="J26" s="1">
        <v>7878</v>
      </c>
      <c r="K26" s="637">
        <f t="shared" si="30"/>
        <v>1</v>
      </c>
      <c r="L26" s="98">
        <f t="shared" si="31"/>
        <v>11953</v>
      </c>
      <c r="M26" s="1">
        <v>11966</v>
      </c>
      <c r="N26" s="637">
        <f t="shared" si="32"/>
        <v>13</v>
      </c>
      <c r="O26" s="98">
        <f t="shared" si="33"/>
        <v>20081</v>
      </c>
      <c r="P26" s="514">
        <v>20083</v>
      </c>
      <c r="Q26" s="637">
        <f t="shared" si="34"/>
        <v>2</v>
      </c>
      <c r="R26" s="331"/>
      <c r="S26" s="326">
        <f t="shared" si="35"/>
        <v>51110</v>
      </c>
      <c r="T26" s="515">
        <v>51159</v>
      </c>
      <c r="U26" s="638">
        <f t="shared" si="17"/>
        <v>49</v>
      </c>
      <c r="V26" s="326">
        <f t="shared" si="28"/>
        <v>71010</v>
      </c>
      <c r="W26" s="515">
        <v>71073</v>
      </c>
      <c r="X26" s="638">
        <f t="shared" si="18"/>
        <v>63</v>
      </c>
      <c r="Y26" s="326">
        <f t="shared" si="11"/>
        <v>80332</v>
      </c>
      <c r="Z26" s="515">
        <v>80332</v>
      </c>
      <c r="AA26" s="638">
        <f t="shared" si="19"/>
        <v>0</v>
      </c>
      <c r="AB26" s="326">
        <f t="shared" si="12"/>
        <v>13184</v>
      </c>
      <c r="AC26" s="642">
        <v>13184</v>
      </c>
      <c r="AD26" s="638">
        <f t="shared" si="20"/>
        <v>0</v>
      </c>
      <c r="AE26" s="326">
        <f t="shared" si="13"/>
        <v>17050</v>
      </c>
      <c r="AF26" s="516">
        <v>17074</v>
      </c>
      <c r="AG26" s="638">
        <f t="shared" si="21"/>
        <v>24</v>
      </c>
      <c r="AH26" s="326">
        <f t="shared" si="14"/>
        <v>24456</v>
      </c>
      <c r="AI26" s="516">
        <v>24479</v>
      </c>
      <c r="AJ26" s="638">
        <f t="shared" si="23"/>
        <v>45</v>
      </c>
      <c r="AK26" s="419">
        <f t="shared" si="15"/>
        <v>15154</v>
      </c>
      <c r="AL26" s="515">
        <v>15154</v>
      </c>
      <c r="AM26" s="638">
        <f t="shared" si="27"/>
        <v>0</v>
      </c>
      <c r="AN26" s="522">
        <f t="shared" si="24"/>
        <v>181</v>
      </c>
    </row>
    <row r="27" spans="1:40" ht="23.1" customHeight="1">
      <c r="A27" s="58">
        <f>Gen!B32</f>
        <v>43912</v>
      </c>
      <c r="B27" s="4"/>
      <c r="C27" s="98">
        <f>D26</f>
        <v>232008</v>
      </c>
      <c r="D27" s="1">
        <v>232081</v>
      </c>
      <c r="E27" s="637">
        <f t="shared" si="26"/>
        <v>73</v>
      </c>
      <c r="F27" s="98">
        <f t="shared" si="2"/>
        <v>38000</v>
      </c>
      <c r="G27" s="520">
        <v>38000</v>
      </c>
      <c r="H27" s="637">
        <f t="shared" si="36"/>
        <v>0</v>
      </c>
      <c r="I27" s="98">
        <f t="shared" si="29"/>
        <v>7878</v>
      </c>
      <c r="J27" s="1">
        <v>7879</v>
      </c>
      <c r="K27" s="637">
        <f t="shared" si="30"/>
        <v>1</v>
      </c>
      <c r="L27" s="98">
        <f t="shared" si="31"/>
        <v>11966</v>
      </c>
      <c r="M27" s="1">
        <v>11978</v>
      </c>
      <c r="N27" s="637">
        <f t="shared" si="32"/>
        <v>12</v>
      </c>
      <c r="O27" s="98">
        <f t="shared" si="33"/>
        <v>20083</v>
      </c>
      <c r="P27" s="514">
        <v>20084</v>
      </c>
      <c r="Q27" s="637">
        <f t="shared" si="34"/>
        <v>1</v>
      </c>
      <c r="R27" s="331"/>
      <c r="S27" s="326">
        <f t="shared" si="35"/>
        <v>51159</v>
      </c>
      <c r="T27" s="515">
        <v>51202</v>
      </c>
      <c r="U27" s="638">
        <f t="shared" si="17"/>
        <v>43</v>
      </c>
      <c r="V27" s="326">
        <f t="shared" si="28"/>
        <v>71073</v>
      </c>
      <c r="W27" s="515">
        <v>71134</v>
      </c>
      <c r="X27" s="638">
        <f t="shared" si="18"/>
        <v>61</v>
      </c>
      <c r="Y27" s="326">
        <f t="shared" si="11"/>
        <v>80332</v>
      </c>
      <c r="Z27" s="515">
        <v>80332</v>
      </c>
      <c r="AA27" s="638">
        <f t="shared" si="19"/>
        <v>0</v>
      </c>
      <c r="AB27" s="326">
        <f t="shared" si="12"/>
        <v>13184</v>
      </c>
      <c r="AC27" s="327">
        <v>13184</v>
      </c>
      <c r="AD27" s="638">
        <f t="shared" si="20"/>
        <v>0</v>
      </c>
      <c r="AE27" s="326">
        <f t="shared" si="13"/>
        <v>17074</v>
      </c>
      <c r="AF27" s="516">
        <v>17097</v>
      </c>
      <c r="AG27" s="638">
        <f t="shared" si="21"/>
        <v>23</v>
      </c>
      <c r="AH27" s="326">
        <f t="shared" si="14"/>
        <v>24479</v>
      </c>
      <c r="AI27" s="516">
        <v>24501</v>
      </c>
      <c r="AJ27" s="638">
        <f t="shared" si="23"/>
        <v>45</v>
      </c>
      <c r="AK27" s="419">
        <f t="shared" si="15"/>
        <v>15154</v>
      </c>
      <c r="AL27" s="515">
        <v>15154</v>
      </c>
      <c r="AM27" s="638">
        <f t="shared" si="22"/>
        <v>0</v>
      </c>
      <c r="AN27" s="522">
        <f t="shared" si="24"/>
        <v>172</v>
      </c>
    </row>
    <row r="28" spans="1:40" ht="23.1" customHeight="1">
      <c r="A28" s="58">
        <f>Gen!B33</f>
        <v>43913</v>
      </c>
      <c r="B28" s="4"/>
      <c r="C28" s="98">
        <f t="shared" ref="C28:C37" si="37">D27</f>
        <v>232081</v>
      </c>
      <c r="D28" s="1">
        <v>232148</v>
      </c>
      <c r="E28" s="637">
        <f t="shared" si="26"/>
        <v>67</v>
      </c>
      <c r="F28" s="98">
        <f t="shared" si="2"/>
        <v>38000</v>
      </c>
      <c r="G28" s="520">
        <v>38000</v>
      </c>
      <c r="H28" s="637">
        <f t="shared" si="36"/>
        <v>0</v>
      </c>
      <c r="I28" s="98">
        <f t="shared" si="29"/>
        <v>7879</v>
      </c>
      <c r="J28" s="1">
        <v>7881</v>
      </c>
      <c r="K28" s="637">
        <f t="shared" si="30"/>
        <v>2</v>
      </c>
      <c r="L28" s="98">
        <f t="shared" si="31"/>
        <v>11978</v>
      </c>
      <c r="M28" s="1">
        <v>11978</v>
      </c>
      <c r="N28" s="637">
        <f t="shared" si="32"/>
        <v>0</v>
      </c>
      <c r="O28" s="98">
        <f t="shared" si="33"/>
        <v>20084</v>
      </c>
      <c r="P28" s="514">
        <v>20085</v>
      </c>
      <c r="Q28" s="637">
        <f t="shared" si="34"/>
        <v>1</v>
      </c>
      <c r="R28" s="331"/>
      <c r="S28" s="326">
        <f t="shared" si="35"/>
        <v>51202</v>
      </c>
      <c r="T28" s="515">
        <v>51252</v>
      </c>
      <c r="U28" s="638">
        <f t="shared" si="17"/>
        <v>50</v>
      </c>
      <c r="V28" s="326">
        <f t="shared" si="28"/>
        <v>71134</v>
      </c>
      <c r="W28" s="515">
        <v>71195</v>
      </c>
      <c r="X28" s="638">
        <f t="shared" si="18"/>
        <v>61</v>
      </c>
      <c r="Y28" s="326">
        <f t="shared" si="11"/>
        <v>80332</v>
      </c>
      <c r="Z28" s="515">
        <v>80332</v>
      </c>
      <c r="AA28" s="638">
        <f t="shared" si="19"/>
        <v>0</v>
      </c>
      <c r="AB28" s="326">
        <f t="shared" si="12"/>
        <v>13184</v>
      </c>
      <c r="AC28" s="327">
        <v>13184</v>
      </c>
      <c r="AD28" s="638">
        <f t="shared" si="20"/>
        <v>0</v>
      </c>
      <c r="AE28" s="326">
        <f t="shared" si="13"/>
        <v>17097</v>
      </c>
      <c r="AF28" s="516">
        <v>17120</v>
      </c>
      <c r="AG28" s="638">
        <f t="shared" si="21"/>
        <v>23</v>
      </c>
      <c r="AH28" s="326">
        <f t="shared" si="14"/>
        <v>24501</v>
      </c>
      <c r="AI28" s="516">
        <v>24524</v>
      </c>
      <c r="AJ28" s="638">
        <f t="shared" si="23"/>
        <v>45</v>
      </c>
      <c r="AK28" s="419">
        <f t="shared" si="15"/>
        <v>15154</v>
      </c>
      <c r="AL28" s="515">
        <v>15154</v>
      </c>
      <c r="AM28" s="638">
        <f t="shared" si="22"/>
        <v>0</v>
      </c>
      <c r="AN28" s="522">
        <f t="shared" si="24"/>
        <v>179</v>
      </c>
    </row>
    <row r="29" spans="1:40" ht="23.1" customHeight="1">
      <c r="A29" s="58">
        <f>Gen!B34</f>
        <v>43914</v>
      </c>
      <c r="B29" s="4"/>
      <c r="C29" s="98">
        <f t="shared" si="37"/>
        <v>232148</v>
      </c>
      <c r="D29" s="1">
        <v>232221</v>
      </c>
      <c r="E29" s="637">
        <f t="shared" si="26"/>
        <v>73</v>
      </c>
      <c r="F29" s="98">
        <f t="shared" si="2"/>
        <v>38000</v>
      </c>
      <c r="G29" s="520">
        <v>38000</v>
      </c>
      <c r="H29" s="637">
        <f t="shared" si="36"/>
        <v>0</v>
      </c>
      <c r="I29" s="98">
        <f t="shared" si="29"/>
        <v>7881</v>
      </c>
      <c r="J29" s="1">
        <v>7882</v>
      </c>
      <c r="K29" s="637">
        <f t="shared" si="30"/>
        <v>1</v>
      </c>
      <c r="L29" s="98">
        <f t="shared" si="31"/>
        <v>11978</v>
      </c>
      <c r="M29" s="1">
        <v>11978</v>
      </c>
      <c r="N29" s="637">
        <f t="shared" si="32"/>
        <v>0</v>
      </c>
      <c r="O29" s="98">
        <f t="shared" si="33"/>
        <v>20085</v>
      </c>
      <c r="P29" s="514">
        <v>20087</v>
      </c>
      <c r="Q29" s="637">
        <f t="shared" si="34"/>
        <v>2</v>
      </c>
      <c r="R29" s="331"/>
      <c r="S29" s="326">
        <f t="shared" si="35"/>
        <v>51252</v>
      </c>
      <c r="T29" s="515">
        <v>51307</v>
      </c>
      <c r="U29" s="638">
        <f t="shared" si="17"/>
        <v>55</v>
      </c>
      <c r="V29" s="326">
        <f t="shared" si="28"/>
        <v>71195</v>
      </c>
      <c r="W29" s="515">
        <v>71260</v>
      </c>
      <c r="X29" s="638">
        <f t="shared" si="18"/>
        <v>65</v>
      </c>
      <c r="Y29" s="326">
        <f t="shared" si="11"/>
        <v>80332</v>
      </c>
      <c r="Z29" s="515">
        <v>80332</v>
      </c>
      <c r="AA29" s="638">
        <f t="shared" si="19"/>
        <v>0</v>
      </c>
      <c r="AB29" s="326">
        <f t="shared" si="12"/>
        <v>13184</v>
      </c>
      <c r="AC29" s="327">
        <v>13184</v>
      </c>
      <c r="AD29" s="638">
        <f t="shared" si="20"/>
        <v>0</v>
      </c>
      <c r="AE29" s="326">
        <f t="shared" si="13"/>
        <v>17120</v>
      </c>
      <c r="AF29" s="516">
        <v>17143</v>
      </c>
      <c r="AG29" s="638">
        <f t="shared" si="21"/>
        <v>23</v>
      </c>
      <c r="AH29" s="326">
        <f t="shared" si="14"/>
        <v>24524</v>
      </c>
      <c r="AI29" s="516">
        <v>24546</v>
      </c>
      <c r="AJ29" s="638">
        <f t="shared" si="23"/>
        <v>22</v>
      </c>
      <c r="AK29" s="419">
        <f t="shared" si="15"/>
        <v>15154</v>
      </c>
      <c r="AL29" s="515">
        <v>15154</v>
      </c>
      <c r="AM29" s="638">
        <f t="shared" si="22"/>
        <v>0</v>
      </c>
      <c r="AN29" s="522">
        <f t="shared" si="24"/>
        <v>165</v>
      </c>
    </row>
    <row r="30" spans="1:40" ht="23.1" customHeight="1">
      <c r="A30" s="58">
        <f>Gen!B35</f>
        <v>43915</v>
      </c>
      <c r="B30" s="4"/>
      <c r="C30" s="98">
        <f t="shared" si="37"/>
        <v>232221</v>
      </c>
      <c r="D30" s="1">
        <v>232281</v>
      </c>
      <c r="E30" s="637">
        <f t="shared" si="26"/>
        <v>60</v>
      </c>
      <c r="F30" s="98">
        <f t="shared" si="2"/>
        <v>38000</v>
      </c>
      <c r="G30" s="520">
        <v>38000</v>
      </c>
      <c r="H30" s="637">
        <f t="shared" si="36"/>
        <v>0</v>
      </c>
      <c r="I30" s="98">
        <f t="shared" si="29"/>
        <v>7882</v>
      </c>
      <c r="J30" s="1">
        <v>7883</v>
      </c>
      <c r="K30" s="637">
        <f t="shared" si="30"/>
        <v>1</v>
      </c>
      <c r="L30" s="98">
        <f t="shared" si="31"/>
        <v>11978</v>
      </c>
      <c r="M30" s="1">
        <v>11978</v>
      </c>
      <c r="N30" s="637">
        <f t="shared" si="32"/>
        <v>0</v>
      </c>
      <c r="O30" s="98">
        <f t="shared" si="33"/>
        <v>20087</v>
      </c>
      <c r="P30" s="514">
        <v>20089</v>
      </c>
      <c r="Q30" s="637">
        <f t="shared" si="34"/>
        <v>2</v>
      </c>
      <c r="R30" s="331"/>
      <c r="S30" s="326">
        <f t="shared" si="35"/>
        <v>51307</v>
      </c>
      <c r="T30" s="515">
        <v>51359</v>
      </c>
      <c r="U30" s="638">
        <f t="shared" si="17"/>
        <v>52</v>
      </c>
      <c r="V30" s="326">
        <f t="shared" si="28"/>
        <v>71260</v>
      </c>
      <c r="W30" s="515">
        <v>71260</v>
      </c>
      <c r="X30" s="638">
        <f t="shared" si="18"/>
        <v>0</v>
      </c>
      <c r="Y30" s="326">
        <f t="shared" si="11"/>
        <v>80332</v>
      </c>
      <c r="Z30" s="515">
        <v>80332</v>
      </c>
      <c r="AA30" s="638">
        <f t="shared" si="19"/>
        <v>0</v>
      </c>
      <c r="AB30" s="326">
        <f t="shared" si="12"/>
        <v>13184</v>
      </c>
      <c r="AC30" s="327">
        <v>13184</v>
      </c>
      <c r="AD30" s="638">
        <f t="shared" si="20"/>
        <v>0</v>
      </c>
      <c r="AE30" s="326">
        <f t="shared" si="13"/>
        <v>17143</v>
      </c>
      <c r="AF30" s="516">
        <v>17169</v>
      </c>
      <c r="AG30" s="638">
        <f t="shared" si="21"/>
        <v>26</v>
      </c>
      <c r="AH30" s="326">
        <f t="shared" si="14"/>
        <v>24546</v>
      </c>
      <c r="AI30" s="516">
        <v>24546</v>
      </c>
      <c r="AJ30" s="638">
        <f t="shared" si="23"/>
        <v>0</v>
      </c>
      <c r="AK30" s="419">
        <f t="shared" si="15"/>
        <v>15154</v>
      </c>
      <c r="AL30" s="515">
        <v>15154</v>
      </c>
      <c r="AM30" s="638">
        <f t="shared" si="22"/>
        <v>0</v>
      </c>
      <c r="AN30" s="522">
        <f t="shared" si="24"/>
        <v>78</v>
      </c>
    </row>
    <row r="31" spans="1:40" ht="23.1" customHeight="1">
      <c r="A31" s="58">
        <f>Gen!B36</f>
        <v>43916</v>
      </c>
      <c r="B31" s="4"/>
      <c r="C31" s="98">
        <f t="shared" si="37"/>
        <v>232281</v>
      </c>
      <c r="D31" s="1">
        <v>232331</v>
      </c>
      <c r="E31" s="637">
        <f t="shared" si="26"/>
        <v>50</v>
      </c>
      <c r="F31" s="98">
        <f t="shared" si="2"/>
        <v>38000</v>
      </c>
      <c r="G31" s="520">
        <v>38000</v>
      </c>
      <c r="H31" s="637">
        <f t="shared" si="36"/>
        <v>0</v>
      </c>
      <c r="I31" s="98">
        <f t="shared" si="29"/>
        <v>7883</v>
      </c>
      <c r="J31" s="1">
        <v>7884</v>
      </c>
      <c r="K31" s="637">
        <f t="shared" si="30"/>
        <v>1</v>
      </c>
      <c r="L31" s="98">
        <f t="shared" si="31"/>
        <v>11978</v>
      </c>
      <c r="M31" s="1">
        <v>11978</v>
      </c>
      <c r="N31" s="637">
        <f t="shared" si="32"/>
        <v>0</v>
      </c>
      <c r="O31" s="98">
        <f t="shared" si="33"/>
        <v>20089</v>
      </c>
      <c r="P31" s="514">
        <v>20091</v>
      </c>
      <c r="Q31" s="637">
        <f t="shared" si="34"/>
        <v>2</v>
      </c>
      <c r="R31" s="331"/>
      <c r="S31" s="326">
        <f t="shared" si="35"/>
        <v>51359</v>
      </c>
      <c r="T31" s="515">
        <v>51420</v>
      </c>
      <c r="U31" s="638">
        <f t="shared" si="17"/>
        <v>61</v>
      </c>
      <c r="V31" s="326">
        <f t="shared" si="28"/>
        <v>71260</v>
      </c>
      <c r="W31" s="515">
        <v>71260</v>
      </c>
      <c r="X31" s="638">
        <f t="shared" si="18"/>
        <v>0</v>
      </c>
      <c r="Y31" s="326">
        <f t="shared" si="11"/>
        <v>80332</v>
      </c>
      <c r="Z31" s="515">
        <v>80332</v>
      </c>
      <c r="AA31" s="638">
        <f t="shared" si="19"/>
        <v>0</v>
      </c>
      <c r="AB31" s="326">
        <f t="shared" si="12"/>
        <v>13184</v>
      </c>
      <c r="AC31" s="327">
        <v>13184</v>
      </c>
      <c r="AD31" s="638">
        <f t="shared" si="20"/>
        <v>0</v>
      </c>
      <c r="AE31" s="326">
        <f t="shared" si="13"/>
        <v>17169</v>
      </c>
      <c r="AF31" s="516">
        <v>17194</v>
      </c>
      <c r="AG31" s="638">
        <f t="shared" si="21"/>
        <v>25</v>
      </c>
      <c r="AH31" s="326">
        <f t="shared" si="14"/>
        <v>24546</v>
      </c>
      <c r="AI31" s="516">
        <v>24546</v>
      </c>
      <c r="AJ31" s="638">
        <f t="shared" si="23"/>
        <v>0</v>
      </c>
      <c r="AK31" s="419">
        <f t="shared" si="15"/>
        <v>15154</v>
      </c>
      <c r="AL31" s="515">
        <v>15154</v>
      </c>
      <c r="AM31" s="638">
        <f t="shared" si="22"/>
        <v>0</v>
      </c>
      <c r="AN31" s="522">
        <f t="shared" si="24"/>
        <v>86</v>
      </c>
    </row>
    <row r="32" spans="1:40" ht="23.1" customHeight="1">
      <c r="A32" s="58">
        <f>Gen!B37</f>
        <v>43917</v>
      </c>
      <c r="B32" s="4" t="s">
        <v>27</v>
      </c>
      <c r="C32" s="98">
        <f t="shared" si="37"/>
        <v>232331</v>
      </c>
      <c r="D32" s="1">
        <v>232427</v>
      </c>
      <c r="E32" s="637">
        <f t="shared" si="26"/>
        <v>96</v>
      </c>
      <c r="F32" s="98">
        <f t="shared" si="2"/>
        <v>38000</v>
      </c>
      <c r="G32" s="520">
        <v>38000</v>
      </c>
      <c r="H32" s="637">
        <f t="shared" si="36"/>
        <v>0</v>
      </c>
      <c r="I32" s="98">
        <f t="shared" si="29"/>
        <v>7884</v>
      </c>
      <c r="J32" s="1">
        <v>7885</v>
      </c>
      <c r="K32" s="637">
        <f t="shared" si="30"/>
        <v>1</v>
      </c>
      <c r="L32" s="98">
        <f t="shared" si="31"/>
        <v>11978</v>
      </c>
      <c r="M32" s="1">
        <v>11978</v>
      </c>
      <c r="N32" s="637">
        <f t="shared" si="32"/>
        <v>0</v>
      </c>
      <c r="O32" s="98">
        <f t="shared" si="33"/>
        <v>20091</v>
      </c>
      <c r="P32" s="514">
        <v>20094</v>
      </c>
      <c r="Q32" s="637">
        <f t="shared" si="34"/>
        <v>3</v>
      </c>
      <c r="R32" s="331"/>
      <c r="S32" s="326">
        <f t="shared" si="35"/>
        <v>51420</v>
      </c>
      <c r="T32" s="515">
        <v>51485</v>
      </c>
      <c r="U32" s="638">
        <f t="shared" si="17"/>
        <v>65</v>
      </c>
      <c r="V32" s="326">
        <f t="shared" si="28"/>
        <v>71260</v>
      </c>
      <c r="W32" s="515">
        <v>71260</v>
      </c>
      <c r="X32" s="638">
        <f t="shared" si="18"/>
        <v>0</v>
      </c>
      <c r="Y32" s="326">
        <f t="shared" si="11"/>
        <v>80332</v>
      </c>
      <c r="Z32" s="515">
        <v>80332</v>
      </c>
      <c r="AA32" s="638">
        <f t="shared" si="19"/>
        <v>0</v>
      </c>
      <c r="AB32" s="326">
        <f t="shared" si="12"/>
        <v>13184</v>
      </c>
      <c r="AC32" s="327">
        <v>13184</v>
      </c>
      <c r="AD32" s="638">
        <f t="shared" si="20"/>
        <v>0</v>
      </c>
      <c r="AE32" s="326">
        <f t="shared" si="13"/>
        <v>17194</v>
      </c>
      <c r="AF32" s="516">
        <v>17218</v>
      </c>
      <c r="AG32" s="638">
        <f t="shared" si="21"/>
        <v>24</v>
      </c>
      <c r="AH32" s="326">
        <f t="shared" si="14"/>
        <v>24546</v>
      </c>
      <c r="AI32" s="516">
        <v>24546</v>
      </c>
      <c r="AJ32" s="638">
        <f t="shared" si="23"/>
        <v>0</v>
      </c>
      <c r="AK32" s="419">
        <f t="shared" si="15"/>
        <v>15154</v>
      </c>
      <c r="AL32" s="515">
        <v>15154</v>
      </c>
      <c r="AM32" s="638">
        <f t="shared" si="22"/>
        <v>0</v>
      </c>
      <c r="AN32" s="522">
        <f t="shared" si="24"/>
        <v>89</v>
      </c>
    </row>
    <row r="33" spans="1:41" ht="23.1" customHeight="1">
      <c r="A33" s="58">
        <f>Gen!B38</f>
        <v>43918</v>
      </c>
      <c r="B33" s="4"/>
      <c r="C33" s="98">
        <f t="shared" si="37"/>
        <v>232427</v>
      </c>
      <c r="D33" s="1">
        <v>232459</v>
      </c>
      <c r="E33" s="637">
        <f t="shared" si="26"/>
        <v>32</v>
      </c>
      <c r="F33" s="98">
        <f t="shared" si="2"/>
        <v>38000</v>
      </c>
      <c r="G33" s="520">
        <v>38000</v>
      </c>
      <c r="H33" s="637">
        <f t="shared" si="36"/>
        <v>0</v>
      </c>
      <c r="I33" s="98">
        <f t="shared" si="29"/>
        <v>7885</v>
      </c>
      <c r="J33" s="1">
        <v>7886</v>
      </c>
      <c r="K33" s="637">
        <f t="shared" si="30"/>
        <v>1</v>
      </c>
      <c r="L33" s="98">
        <f t="shared" si="31"/>
        <v>11978</v>
      </c>
      <c r="M33" s="1">
        <v>11978</v>
      </c>
      <c r="N33" s="637">
        <f t="shared" si="32"/>
        <v>0</v>
      </c>
      <c r="O33" s="98">
        <f t="shared" si="33"/>
        <v>20094</v>
      </c>
      <c r="P33" s="514">
        <v>20095</v>
      </c>
      <c r="Q33" s="637">
        <f t="shared" si="34"/>
        <v>1</v>
      </c>
      <c r="R33" s="331"/>
      <c r="S33" s="326">
        <f t="shared" si="35"/>
        <v>51485</v>
      </c>
      <c r="T33" s="515">
        <v>51549</v>
      </c>
      <c r="U33" s="638">
        <f t="shared" si="17"/>
        <v>64</v>
      </c>
      <c r="V33" s="326">
        <f t="shared" si="28"/>
        <v>71260</v>
      </c>
      <c r="W33" s="515">
        <v>71260</v>
      </c>
      <c r="X33" s="638">
        <f t="shared" si="18"/>
        <v>0</v>
      </c>
      <c r="Y33" s="326">
        <f t="shared" si="11"/>
        <v>80332</v>
      </c>
      <c r="Z33" s="515">
        <v>80332</v>
      </c>
      <c r="AA33" s="638">
        <f t="shared" si="19"/>
        <v>0</v>
      </c>
      <c r="AB33" s="326">
        <f t="shared" si="12"/>
        <v>13184</v>
      </c>
      <c r="AC33" s="327">
        <v>13184</v>
      </c>
      <c r="AD33" s="638">
        <f t="shared" si="20"/>
        <v>0</v>
      </c>
      <c r="AE33" s="326">
        <f t="shared" si="13"/>
        <v>17218</v>
      </c>
      <c r="AF33" s="516">
        <v>17241</v>
      </c>
      <c r="AG33" s="638">
        <f t="shared" si="21"/>
        <v>23</v>
      </c>
      <c r="AH33" s="326">
        <f t="shared" si="14"/>
        <v>24546</v>
      </c>
      <c r="AI33" s="516">
        <v>24546</v>
      </c>
      <c r="AJ33" s="638">
        <f t="shared" si="23"/>
        <v>0</v>
      </c>
      <c r="AK33" s="419">
        <f t="shared" si="15"/>
        <v>15154</v>
      </c>
      <c r="AL33" s="515">
        <v>15154</v>
      </c>
      <c r="AM33" s="638">
        <f t="shared" si="22"/>
        <v>0</v>
      </c>
      <c r="AN33" s="522">
        <f t="shared" si="24"/>
        <v>87</v>
      </c>
    </row>
    <row r="34" spans="1:41" ht="23.1" customHeight="1">
      <c r="A34" s="58">
        <f>Gen!B39</f>
        <v>43919</v>
      </c>
      <c r="B34" s="170"/>
      <c r="C34" s="98">
        <f t="shared" si="37"/>
        <v>232459</v>
      </c>
      <c r="D34" s="1">
        <v>232497</v>
      </c>
      <c r="E34" s="637">
        <f t="shared" si="26"/>
        <v>38</v>
      </c>
      <c r="F34" s="98">
        <f t="shared" si="2"/>
        <v>38000</v>
      </c>
      <c r="G34" s="520">
        <v>38000</v>
      </c>
      <c r="H34" s="637">
        <f t="shared" si="36"/>
        <v>0</v>
      </c>
      <c r="I34" s="98">
        <f t="shared" si="29"/>
        <v>7886</v>
      </c>
      <c r="J34" s="1">
        <v>7887</v>
      </c>
      <c r="K34" s="637">
        <f t="shared" si="30"/>
        <v>1</v>
      </c>
      <c r="L34" s="98">
        <f t="shared" si="31"/>
        <v>11978</v>
      </c>
      <c r="M34" s="1">
        <v>11978</v>
      </c>
      <c r="N34" s="637">
        <f t="shared" si="32"/>
        <v>0</v>
      </c>
      <c r="O34" s="98">
        <f t="shared" si="33"/>
        <v>20095</v>
      </c>
      <c r="P34" s="514">
        <v>20096</v>
      </c>
      <c r="Q34" s="637">
        <f t="shared" si="34"/>
        <v>1</v>
      </c>
      <c r="R34" s="331"/>
      <c r="S34" s="326">
        <f t="shared" si="35"/>
        <v>51549</v>
      </c>
      <c r="T34" s="515">
        <v>51612</v>
      </c>
      <c r="U34" s="638">
        <f t="shared" si="17"/>
        <v>63</v>
      </c>
      <c r="V34" s="326">
        <f t="shared" si="28"/>
        <v>71260</v>
      </c>
      <c r="W34" s="515">
        <v>71260</v>
      </c>
      <c r="X34" s="638">
        <f t="shared" si="18"/>
        <v>0</v>
      </c>
      <c r="Y34" s="326">
        <f t="shared" si="11"/>
        <v>80332</v>
      </c>
      <c r="Z34" s="515">
        <v>80332</v>
      </c>
      <c r="AA34" s="638">
        <f t="shared" si="19"/>
        <v>0</v>
      </c>
      <c r="AB34" s="326">
        <f t="shared" si="12"/>
        <v>13184</v>
      </c>
      <c r="AC34" s="327">
        <v>13184</v>
      </c>
      <c r="AD34" s="638">
        <f t="shared" si="20"/>
        <v>0</v>
      </c>
      <c r="AE34" s="326">
        <f t="shared" si="13"/>
        <v>17241</v>
      </c>
      <c r="AF34" s="516">
        <v>17265</v>
      </c>
      <c r="AG34" s="638">
        <f t="shared" si="21"/>
        <v>24</v>
      </c>
      <c r="AH34" s="326">
        <f t="shared" si="14"/>
        <v>24546</v>
      </c>
      <c r="AI34" s="516">
        <v>24546</v>
      </c>
      <c r="AJ34" s="638">
        <f t="shared" si="23"/>
        <v>0</v>
      </c>
      <c r="AK34" s="419">
        <f t="shared" si="15"/>
        <v>15154</v>
      </c>
      <c r="AL34" s="515">
        <v>15154</v>
      </c>
      <c r="AM34" s="638">
        <f t="shared" si="22"/>
        <v>0</v>
      </c>
      <c r="AN34" s="522">
        <f t="shared" si="24"/>
        <v>87</v>
      </c>
    </row>
    <row r="35" spans="1:41" ht="23.1" customHeight="1">
      <c r="A35" s="58">
        <f>Gen!B40</f>
        <v>43920</v>
      </c>
      <c r="B35" s="170"/>
      <c r="C35" s="98">
        <f t="shared" si="37"/>
        <v>232497</v>
      </c>
      <c r="D35" s="1">
        <v>232543</v>
      </c>
      <c r="E35" s="637">
        <f t="shared" si="26"/>
        <v>46</v>
      </c>
      <c r="F35" s="98">
        <f t="shared" si="2"/>
        <v>38000</v>
      </c>
      <c r="G35" s="520">
        <v>38000</v>
      </c>
      <c r="H35" s="637">
        <f t="shared" si="36"/>
        <v>0</v>
      </c>
      <c r="I35" s="98">
        <f t="shared" si="29"/>
        <v>7887</v>
      </c>
      <c r="J35" s="1">
        <v>7888</v>
      </c>
      <c r="K35" s="637">
        <f t="shared" si="30"/>
        <v>1</v>
      </c>
      <c r="L35" s="98">
        <f t="shared" si="31"/>
        <v>11978</v>
      </c>
      <c r="M35" s="1">
        <v>11978</v>
      </c>
      <c r="N35" s="637">
        <f t="shared" si="32"/>
        <v>0</v>
      </c>
      <c r="O35" s="98">
        <f t="shared" si="33"/>
        <v>20096</v>
      </c>
      <c r="P35" s="514">
        <v>20100</v>
      </c>
      <c r="Q35" s="637">
        <f t="shared" si="34"/>
        <v>4</v>
      </c>
      <c r="R35" s="331"/>
      <c r="S35" s="326">
        <f t="shared" si="35"/>
        <v>51612</v>
      </c>
      <c r="T35" s="515">
        <v>51661</v>
      </c>
      <c r="U35" s="638">
        <f t="shared" si="17"/>
        <v>49</v>
      </c>
      <c r="V35" s="326">
        <f t="shared" si="28"/>
        <v>71260</v>
      </c>
      <c r="W35" s="515">
        <v>71260</v>
      </c>
      <c r="X35" s="638">
        <f t="shared" si="18"/>
        <v>0</v>
      </c>
      <c r="Y35" s="326">
        <f t="shared" si="11"/>
        <v>80332</v>
      </c>
      <c r="Z35" s="515">
        <v>80332</v>
      </c>
      <c r="AA35" s="638">
        <f t="shared" si="19"/>
        <v>0</v>
      </c>
      <c r="AB35" s="326">
        <f t="shared" si="12"/>
        <v>13184</v>
      </c>
      <c r="AC35" s="327">
        <v>13184</v>
      </c>
      <c r="AD35" s="638">
        <f t="shared" si="20"/>
        <v>0</v>
      </c>
      <c r="AE35" s="326">
        <f t="shared" si="13"/>
        <v>17265</v>
      </c>
      <c r="AF35" s="516">
        <v>17289</v>
      </c>
      <c r="AG35" s="638">
        <f t="shared" si="21"/>
        <v>24</v>
      </c>
      <c r="AH35" s="326">
        <f t="shared" si="14"/>
        <v>24546</v>
      </c>
      <c r="AI35" s="516">
        <v>24546</v>
      </c>
      <c r="AJ35" s="638">
        <f t="shared" si="23"/>
        <v>0</v>
      </c>
      <c r="AK35" s="419">
        <f t="shared" si="15"/>
        <v>15154</v>
      </c>
      <c r="AL35" s="515">
        <v>15154</v>
      </c>
      <c r="AM35" s="638">
        <f t="shared" si="22"/>
        <v>0</v>
      </c>
      <c r="AN35" s="522">
        <f t="shared" si="24"/>
        <v>73</v>
      </c>
    </row>
    <row r="36" spans="1:41" ht="23.1" customHeight="1">
      <c r="A36" s="58">
        <f>Gen!B41</f>
        <v>43921</v>
      </c>
      <c r="B36" s="171"/>
      <c r="C36" s="98">
        <f t="shared" si="37"/>
        <v>232543</v>
      </c>
      <c r="D36" s="1">
        <v>232607</v>
      </c>
      <c r="E36" s="637">
        <f t="shared" si="26"/>
        <v>64</v>
      </c>
      <c r="F36" s="98">
        <f t="shared" si="2"/>
        <v>38000</v>
      </c>
      <c r="G36" s="520">
        <v>38000</v>
      </c>
      <c r="H36" s="637">
        <f t="shared" si="36"/>
        <v>0</v>
      </c>
      <c r="I36" s="98">
        <f t="shared" si="29"/>
        <v>7888</v>
      </c>
      <c r="J36" s="1">
        <v>7890</v>
      </c>
      <c r="K36" s="637">
        <f t="shared" si="30"/>
        <v>2</v>
      </c>
      <c r="L36" s="98">
        <f t="shared" si="31"/>
        <v>11978</v>
      </c>
      <c r="M36" s="1">
        <v>11978</v>
      </c>
      <c r="N36" s="637">
        <f t="shared" si="32"/>
        <v>0</v>
      </c>
      <c r="O36" s="98">
        <f t="shared" si="33"/>
        <v>20100</v>
      </c>
      <c r="P36" s="514">
        <v>20103</v>
      </c>
      <c r="Q36" s="637">
        <f t="shared" si="34"/>
        <v>3</v>
      </c>
      <c r="R36" s="331"/>
      <c r="S36" s="326">
        <f t="shared" si="35"/>
        <v>51661</v>
      </c>
      <c r="T36" s="515">
        <v>51712</v>
      </c>
      <c r="U36" s="638">
        <f t="shared" si="17"/>
        <v>51</v>
      </c>
      <c r="V36" s="326">
        <f t="shared" si="28"/>
        <v>71260</v>
      </c>
      <c r="W36" s="515">
        <v>71260</v>
      </c>
      <c r="X36" s="638">
        <f t="shared" si="18"/>
        <v>0</v>
      </c>
      <c r="Y36" s="326">
        <f t="shared" si="11"/>
        <v>80332</v>
      </c>
      <c r="Z36" s="515">
        <v>80332</v>
      </c>
      <c r="AA36" s="638">
        <f t="shared" si="19"/>
        <v>0</v>
      </c>
      <c r="AB36" s="326">
        <f t="shared" si="12"/>
        <v>13184</v>
      </c>
      <c r="AC36" s="327">
        <v>13184</v>
      </c>
      <c r="AD36" s="638">
        <f t="shared" si="20"/>
        <v>0</v>
      </c>
      <c r="AE36" s="326">
        <f t="shared" si="13"/>
        <v>17289</v>
      </c>
      <c r="AF36" s="516">
        <v>17313</v>
      </c>
      <c r="AG36" s="638">
        <f t="shared" si="21"/>
        <v>24</v>
      </c>
      <c r="AH36" s="326">
        <f t="shared" si="14"/>
        <v>24546</v>
      </c>
      <c r="AI36" s="516">
        <v>24546</v>
      </c>
      <c r="AJ36" s="638" t="str">
        <f t="shared" si="23"/>
        <v>0</v>
      </c>
      <c r="AK36" s="419">
        <f t="shared" si="15"/>
        <v>15154</v>
      </c>
      <c r="AL36" s="515">
        <v>15154</v>
      </c>
      <c r="AM36" s="638">
        <f t="shared" si="22"/>
        <v>0</v>
      </c>
      <c r="AN36" s="522">
        <f t="shared" si="24"/>
        <v>75</v>
      </c>
    </row>
    <row r="37" spans="1:41" ht="24" customHeight="1">
      <c r="A37" s="58">
        <f>Gen!B42</f>
        <v>43922</v>
      </c>
      <c r="B37" s="3"/>
      <c r="C37" s="98">
        <f t="shared" si="37"/>
        <v>232607</v>
      </c>
      <c r="D37" s="1"/>
      <c r="E37" s="637" t="str">
        <f t="shared" si="26"/>
        <v>0</v>
      </c>
      <c r="F37" s="98">
        <f t="shared" si="2"/>
        <v>38000</v>
      </c>
      <c r="G37" s="520"/>
      <c r="H37" s="637" t="str">
        <f t="shared" si="36"/>
        <v>0</v>
      </c>
      <c r="I37" s="98">
        <f t="shared" si="29"/>
        <v>7890</v>
      </c>
      <c r="J37" s="1"/>
      <c r="K37" s="637" t="str">
        <f t="shared" si="30"/>
        <v>0</v>
      </c>
      <c r="L37" s="98">
        <f t="shared" si="31"/>
        <v>11978</v>
      </c>
      <c r="M37" s="1"/>
      <c r="N37" s="637" t="str">
        <f t="shared" si="32"/>
        <v>0</v>
      </c>
      <c r="O37" s="98">
        <f t="shared" si="33"/>
        <v>20103</v>
      </c>
      <c r="P37" s="514"/>
      <c r="Q37" s="637" t="str">
        <f t="shared" si="34"/>
        <v>0</v>
      </c>
      <c r="R37" s="331"/>
      <c r="S37" s="326">
        <f t="shared" si="35"/>
        <v>51712</v>
      </c>
      <c r="T37" s="515"/>
      <c r="U37" s="638" t="str">
        <f t="shared" si="17"/>
        <v>0</v>
      </c>
      <c r="V37" s="326">
        <f t="shared" si="28"/>
        <v>71260</v>
      </c>
      <c r="W37" s="515"/>
      <c r="X37" s="638" t="str">
        <f t="shared" si="18"/>
        <v>0</v>
      </c>
      <c r="Y37" s="326">
        <f t="shared" si="11"/>
        <v>80332</v>
      </c>
      <c r="Z37" s="515"/>
      <c r="AA37" s="638" t="str">
        <f t="shared" si="19"/>
        <v>0</v>
      </c>
      <c r="AB37" s="326">
        <f t="shared" si="12"/>
        <v>13184</v>
      </c>
      <c r="AC37" s="327"/>
      <c r="AD37" s="638" t="str">
        <f t="shared" si="20"/>
        <v>0</v>
      </c>
      <c r="AE37" s="326">
        <f t="shared" si="13"/>
        <v>17313</v>
      </c>
      <c r="AF37" s="516"/>
      <c r="AG37" s="638" t="str">
        <f t="shared" si="21"/>
        <v>0</v>
      </c>
      <c r="AH37" s="326">
        <f t="shared" si="14"/>
        <v>24546</v>
      </c>
      <c r="AI37" s="516"/>
      <c r="AJ37" s="638" t="str">
        <f t="shared" si="23"/>
        <v>0</v>
      </c>
      <c r="AK37" s="419">
        <f t="shared" si="15"/>
        <v>15154</v>
      </c>
      <c r="AL37" s="515"/>
      <c r="AM37" s="638" t="str">
        <f t="shared" si="22"/>
        <v>0</v>
      </c>
      <c r="AN37" s="522">
        <f t="shared" ref="AN37" si="38">U38+X38+AA38+AD38+AG38+AJ38+AM38</f>
        <v>1742</v>
      </c>
    </row>
    <row r="38" spans="1:41" ht="17.25">
      <c r="A38" s="58"/>
      <c r="B38" s="22"/>
      <c r="C38" s="884" t="s">
        <v>6</v>
      </c>
      <c r="D38" s="884"/>
      <c r="E38" s="23">
        <f>SUM(E6:E36)</f>
        <v>2981</v>
      </c>
      <c r="F38" s="24" t="s">
        <v>21</v>
      </c>
      <c r="G38" s="25"/>
      <c r="H38" s="26">
        <f>SUM(H6:H37)</f>
        <v>0</v>
      </c>
      <c r="I38" s="27"/>
      <c r="J38" s="24"/>
      <c r="K38" s="28">
        <f>SUM(K6:K37)</f>
        <v>67</v>
      </c>
      <c r="L38" s="169"/>
      <c r="M38" s="169"/>
      <c r="N38" s="29">
        <f t="shared" ref="N38" si="39">M38-M37</f>
        <v>0</v>
      </c>
      <c r="O38" s="27"/>
      <c r="P38" s="328"/>
      <c r="Q38" s="329">
        <f t="shared" ref="Q38" si="40">P38-O38</f>
        <v>0</v>
      </c>
      <c r="R38" s="330">
        <f>E38</f>
        <v>2981</v>
      </c>
      <c r="S38" s="328"/>
      <c r="T38" s="328"/>
      <c r="U38" s="338">
        <f>SUM(U6:U37)</f>
        <v>1742</v>
      </c>
      <c r="V38" s="328"/>
      <c r="W38" s="328"/>
      <c r="X38" s="328"/>
      <c r="Y38" s="328"/>
      <c r="Z38" s="328"/>
      <c r="AA38" s="328"/>
      <c r="AB38" s="328"/>
      <c r="AC38" s="328"/>
      <c r="AD38" s="328"/>
      <c r="AE38" s="328"/>
      <c r="AF38" s="328"/>
      <c r="AG38" s="328"/>
      <c r="AH38" s="328"/>
      <c r="AI38" s="328"/>
      <c r="AJ38" s="328"/>
      <c r="AK38" s="328"/>
      <c r="AL38" s="328"/>
      <c r="AM38" s="328"/>
      <c r="AN38" s="334">
        <f t="shared" ref="AN38" si="41">U38+X38+AA38+AD38+AG38+AJ38+AM38</f>
        <v>1742</v>
      </c>
    </row>
    <row r="40" spans="1:41">
      <c r="R40" s="20"/>
      <c r="AF40" t="s">
        <v>254</v>
      </c>
    </row>
    <row r="41" spans="1:41" ht="13.5" thickBot="1">
      <c r="R41" s="20"/>
    </row>
    <row r="42" spans="1:41" ht="18.75" thickBot="1">
      <c r="A42" s="853"/>
      <c r="B42" s="364"/>
      <c r="C42" s="850" t="s">
        <v>223</v>
      </c>
      <c r="D42" s="851"/>
      <c r="E42" s="851"/>
      <c r="F42" s="851"/>
      <c r="G42" s="851"/>
      <c r="H42" s="851"/>
      <c r="I42" s="851"/>
      <c r="J42" s="851"/>
      <c r="K42" s="852"/>
      <c r="R42" s="20"/>
    </row>
    <row r="43" spans="1:41" ht="24.75" customHeight="1">
      <c r="A43" s="854"/>
      <c r="B43" s="20"/>
      <c r="C43" s="856" t="s">
        <v>217</v>
      </c>
      <c r="D43" s="857"/>
      <c r="E43" s="858" t="s">
        <v>238</v>
      </c>
      <c r="F43" s="859"/>
      <c r="G43" s="860" t="s">
        <v>218</v>
      </c>
      <c r="H43" s="861"/>
      <c r="I43" s="860" t="s">
        <v>239</v>
      </c>
      <c r="J43" s="861"/>
      <c r="K43" s="848" t="s">
        <v>224</v>
      </c>
      <c r="R43" s="20"/>
      <c r="T43" s="647"/>
      <c r="U43" s="647"/>
      <c r="V43" s="647"/>
      <c r="W43" s="647"/>
      <c r="X43" s="647"/>
      <c r="Y43" s="647"/>
      <c r="Z43" s="647"/>
      <c r="AA43" s="647"/>
      <c r="AB43" s="647"/>
      <c r="AC43" s="647"/>
      <c r="AD43" s="647"/>
      <c r="AE43" s="647"/>
      <c r="AF43" s="647"/>
      <c r="AG43" s="647"/>
      <c r="AH43" s="647"/>
      <c r="AI43" s="647"/>
      <c r="AJ43" s="647"/>
      <c r="AK43" s="647"/>
      <c r="AL43" s="647"/>
      <c r="AM43" s="647"/>
      <c r="AN43" s="647"/>
      <c r="AO43" s="647"/>
    </row>
    <row r="44" spans="1:41" ht="21" customHeight="1" thickBot="1">
      <c r="A44" s="854"/>
      <c r="B44" s="20"/>
      <c r="C44" s="862" t="s">
        <v>219</v>
      </c>
      <c r="D44" s="863"/>
      <c r="E44" s="862" t="s">
        <v>220</v>
      </c>
      <c r="F44" s="863"/>
      <c r="G44" s="862" t="s">
        <v>221</v>
      </c>
      <c r="H44" s="863"/>
      <c r="I44" s="862" t="s">
        <v>222</v>
      </c>
      <c r="J44" s="863"/>
      <c r="K44" s="849"/>
      <c r="R44" s="20"/>
      <c r="T44" s="647"/>
      <c r="U44" s="647"/>
      <c r="V44" s="647"/>
      <c r="W44" s="647"/>
      <c r="X44" s="647"/>
      <c r="Y44" s="647"/>
      <c r="Z44" s="647"/>
      <c r="AA44" s="647"/>
      <c r="AB44" s="647"/>
      <c r="AC44" s="647"/>
      <c r="AD44" s="647"/>
      <c r="AE44" s="647"/>
      <c r="AF44" s="647"/>
      <c r="AG44" s="647"/>
      <c r="AH44" s="647"/>
      <c r="AI44" s="647"/>
      <c r="AJ44" s="647"/>
      <c r="AK44" s="647"/>
      <c r="AL44" s="647"/>
      <c r="AM44" s="647"/>
      <c r="AN44" s="647"/>
      <c r="AO44" s="647"/>
    </row>
    <row r="45" spans="1:41" ht="21" customHeight="1" thickBot="1">
      <c r="A45" s="855"/>
      <c r="B45" s="20"/>
      <c r="C45" s="431" t="s">
        <v>226</v>
      </c>
      <c r="D45" s="432" t="s">
        <v>225</v>
      </c>
      <c r="E45" s="433" t="s">
        <v>226</v>
      </c>
      <c r="F45" s="434" t="s">
        <v>225</v>
      </c>
      <c r="G45" s="639"/>
      <c r="H45" s="434" t="s">
        <v>225</v>
      </c>
      <c r="I45" s="433" t="s">
        <v>226</v>
      </c>
      <c r="J45" s="434" t="s">
        <v>225</v>
      </c>
      <c r="K45" s="435" t="s">
        <v>225</v>
      </c>
      <c r="R45" s="20"/>
      <c r="T45" s="647"/>
      <c r="U45" s="647"/>
      <c r="V45" s="647"/>
      <c r="W45" s="647"/>
      <c r="X45" s="647"/>
      <c r="Y45" s="647"/>
      <c r="Z45" s="647"/>
      <c r="AA45" s="647"/>
      <c r="AB45" s="647"/>
      <c r="AC45" s="647"/>
      <c r="AD45" s="647"/>
      <c r="AE45" s="647"/>
      <c r="AF45" s="647"/>
      <c r="AG45" s="647"/>
      <c r="AH45" s="647"/>
      <c r="AI45" s="647"/>
      <c r="AJ45" s="647"/>
      <c r="AK45" s="647"/>
      <c r="AL45" s="647"/>
      <c r="AM45" s="647"/>
      <c r="AN45" s="647"/>
      <c r="AO45" s="647"/>
    </row>
    <row r="46" spans="1:41" ht="20.25" customHeight="1">
      <c r="A46" s="382">
        <f>Gen!B11</f>
        <v>43891</v>
      </c>
      <c r="B46" s="20"/>
      <c r="C46" s="63">
        <v>280</v>
      </c>
      <c r="D46" s="430">
        <f t="shared" ref="D46:D77" si="42">C46*217/300</f>
        <v>202.53333333333333</v>
      </c>
      <c r="E46" s="6">
        <v>265</v>
      </c>
      <c r="F46" s="430">
        <f t="shared" ref="F46:F77" si="43">E46*92/305</f>
        <v>79.93442622950819</v>
      </c>
      <c r="G46" s="640">
        <v>15</v>
      </c>
      <c r="H46" s="430">
        <f>G46*146/383</f>
        <v>5.7180156657963446</v>
      </c>
      <c r="I46" s="6">
        <v>160</v>
      </c>
      <c r="J46" s="430">
        <f>I46*213/308</f>
        <v>110.64935064935065</v>
      </c>
      <c r="K46" s="436">
        <f>D46+F46+H46+J46</f>
        <v>398.83512587798856</v>
      </c>
      <c r="T46" s="647"/>
      <c r="U46" s="647"/>
      <c r="V46" s="647"/>
      <c r="W46" s="647"/>
      <c r="X46" s="647"/>
      <c r="Y46" s="647"/>
      <c r="Z46" s="647"/>
      <c r="AA46" s="647"/>
      <c r="AB46" s="647"/>
      <c r="AC46" s="647"/>
      <c r="AD46" s="647"/>
      <c r="AE46" s="647"/>
      <c r="AF46" s="647"/>
      <c r="AG46" s="647"/>
      <c r="AH46" s="647"/>
      <c r="AI46" s="647"/>
      <c r="AJ46" s="647"/>
      <c r="AK46" s="647"/>
      <c r="AL46" s="647"/>
      <c r="AM46" s="647"/>
      <c r="AN46" s="647"/>
      <c r="AO46" s="647"/>
    </row>
    <row r="47" spans="1:41" ht="13.5">
      <c r="A47" s="382">
        <f>Gen!B12</f>
        <v>43892</v>
      </c>
      <c r="B47" s="20"/>
      <c r="C47" s="63">
        <v>170</v>
      </c>
      <c r="D47" s="430">
        <f t="shared" si="42"/>
        <v>122.96666666666667</v>
      </c>
      <c r="E47" s="6">
        <v>95</v>
      </c>
      <c r="F47" s="430">
        <f t="shared" si="43"/>
        <v>28.655737704918032</v>
      </c>
      <c r="G47" s="640">
        <v>250</v>
      </c>
      <c r="H47" s="430">
        <f t="shared" ref="H47:H77" si="44">G47*146/383</f>
        <v>95.300261096605738</v>
      </c>
      <c r="I47" s="6">
        <v>105</v>
      </c>
      <c r="J47" s="430">
        <f t="shared" ref="J47:J77" si="45">I47*213/308</f>
        <v>72.61363636363636</v>
      </c>
      <c r="K47" s="436">
        <f t="shared" ref="K47:K77" si="46">D47+F47+H47+J47</f>
        <v>319.53630183182679</v>
      </c>
      <c r="T47" s="647"/>
      <c r="U47" s="647"/>
      <c r="V47" s="647"/>
      <c r="W47" s="647"/>
      <c r="X47" s="647"/>
      <c r="Y47" s="647"/>
      <c r="Z47" s="647"/>
      <c r="AA47" s="647"/>
      <c r="AB47" s="647"/>
      <c r="AC47" s="647"/>
      <c r="AD47" s="647"/>
      <c r="AE47" s="647"/>
      <c r="AF47" s="647"/>
      <c r="AG47" s="647"/>
      <c r="AH47" s="647"/>
      <c r="AI47" s="647"/>
      <c r="AJ47" s="647"/>
      <c r="AK47" s="647"/>
      <c r="AL47" s="647"/>
      <c r="AM47" s="647"/>
      <c r="AN47" s="647"/>
      <c r="AO47" s="647"/>
    </row>
    <row r="48" spans="1:41" ht="13.5">
      <c r="A48" s="382">
        <f>Gen!B13</f>
        <v>43893</v>
      </c>
      <c r="B48" s="20"/>
      <c r="C48" s="63">
        <v>150</v>
      </c>
      <c r="D48" s="430">
        <f t="shared" si="42"/>
        <v>108.5</v>
      </c>
      <c r="E48" s="6">
        <v>110</v>
      </c>
      <c r="F48" s="430">
        <f t="shared" si="43"/>
        <v>33.180327868852459</v>
      </c>
      <c r="G48" s="640">
        <v>15</v>
      </c>
      <c r="H48" s="430">
        <f t="shared" si="44"/>
        <v>5.7180156657963446</v>
      </c>
      <c r="I48" s="6">
        <v>200</v>
      </c>
      <c r="J48" s="430">
        <f t="shared" si="45"/>
        <v>138.3116883116883</v>
      </c>
      <c r="K48" s="436">
        <f t="shared" si="46"/>
        <v>285.71003184633707</v>
      </c>
      <c r="T48" s="647"/>
      <c r="U48" s="647"/>
      <c r="V48" s="647"/>
      <c r="W48" s="647"/>
      <c r="X48" s="647"/>
      <c r="Y48" s="647"/>
      <c r="Z48" s="647"/>
      <c r="AA48" s="647"/>
      <c r="AB48" s="647"/>
      <c r="AC48" s="647"/>
      <c r="AD48" s="647"/>
      <c r="AE48" s="647"/>
      <c r="AF48" s="647"/>
      <c r="AG48" s="647"/>
      <c r="AH48" s="647"/>
      <c r="AI48" s="647"/>
      <c r="AJ48" s="647"/>
      <c r="AK48" s="647"/>
      <c r="AL48" s="647"/>
      <c r="AM48" s="647"/>
      <c r="AN48" s="647"/>
      <c r="AO48" s="647"/>
    </row>
    <row r="49" spans="1:15" ht="13.5">
      <c r="A49" s="382">
        <f>Gen!B14</f>
        <v>43894</v>
      </c>
      <c r="B49" s="20"/>
      <c r="C49" s="63">
        <v>165</v>
      </c>
      <c r="D49" s="430">
        <f t="shared" si="42"/>
        <v>119.35</v>
      </c>
      <c r="E49" s="6">
        <v>120</v>
      </c>
      <c r="F49" s="430">
        <f t="shared" si="43"/>
        <v>36.196721311475407</v>
      </c>
      <c r="G49" s="640">
        <v>20</v>
      </c>
      <c r="H49" s="430">
        <f t="shared" si="44"/>
        <v>7.6240208877284594</v>
      </c>
      <c r="I49" s="6">
        <v>203</v>
      </c>
      <c r="J49" s="430">
        <f t="shared" si="45"/>
        <v>140.38636363636363</v>
      </c>
      <c r="K49" s="436">
        <f t="shared" si="46"/>
        <v>303.55710583556748</v>
      </c>
    </row>
    <row r="50" spans="1:15" ht="13.5">
      <c r="A50" s="382">
        <f>Gen!B15</f>
        <v>43895</v>
      </c>
      <c r="B50" s="20"/>
      <c r="C50" s="63">
        <v>160</v>
      </c>
      <c r="D50" s="430">
        <f t="shared" si="42"/>
        <v>115.73333333333333</v>
      </c>
      <c r="E50" s="6">
        <v>125</v>
      </c>
      <c r="F50" s="430">
        <f t="shared" si="43"/>
        <v>37.704918032786885</v>
      </c>
      <c r="G50" s="640">
        <v>10</v>
      </c>
      <c r="H50" s="430">
        <f t="shared" si="44"/>
        <v>3.8120104438642297</v>
      </c>
      <c r="I50" s="6">
        <v>210</v>
      </c>
      <c r="J50" s="430">
        <f t="shared" si="45"/>
        <v>145.22727272727272</v>
      </c>
      <c r="K50" s="436">
        <f t="shared" si="46"/>
        <v>302.47753453725716</v>
      </c>
    </row>
    <row r="51" spans="1:15" ht="13.5">
      <c r="A51" s="382">
        <f>Gen!B16</f>
        <v>43896</v>
      </c>
      <c r="B51" s="20"/>
      <c r="C51" s="63">
        <v>191</v>
      </c>
      <c r="D51" s="430">
        <f t="shared" si="42"/>
        <v>138.15666666666667</v>
      </c>
      <c r="E51" s="6">
        <v>155</v>
      </c>
      <c r="F51" s="430">
        <f t="shared" si="43"/>
        <v>46.754098360655739</v>
      </c>
      <c r="G51" s="640">
        <v>50</v>
      </c>
      <c r="H51" s="430">
        <f t="shared" si="44"/>
        <v>19.06005221932115</v>
      </c>
      <c r="I51" s="6">
        <v>135</v>
      </c>
      <c r="J51" s="430">
        <f t="shared" si="45"/>
        <v>93.360389610389603</v>
      </c>
      <c r="K51" s="436">
        <f t="shared" si="46"/>
        <v>297.33120685703318</v>
      </c>
    </row>
    <row r="52" spans="1:15" ht="13.5">
      <c r="A52" s="382">
        <f>Gen!B17</f>
        <v>43897</v>
      </c>
      <c r="B52" s="20"/>
      <c r="C52" s="63">
        <v>180</v>
      </c>
      <c r="D52" s="430">
        <f t="shared" si="42"/>
        <v>130.19999999999999</v>
      </c>
      <c r="E52" s="6">
        <v>150</v>
      </c>
      <c r="F52" s="430">
        <f t="shared" si="43"/>
        <v>45.245901639344261</v>
      </c>
      <c r="G52" s="640">
        <v>140</v>
      </c>
      <c r="H52" s="430">
        <f t="shared" si="44"/>
        <v>53.36814621409922</v>
      </c>
      <c r="I52" s="6">
        <v>100</v>
      </c>
      <c r="J52" s="430">
        <f t="shared" si="45"/>
        <v>69.15584415584415</v>
      </c>
      <c r="K52" s="436">
        <f t="shared" si="46"/>
        <v>297.96989200928761</v>
      </c>
    </row>
    <row r="53" spans="1:15" ht="13.5">
      <c r="A53" s="382">
        <f>Gen!B18</f>
        <v>43898</v>
      </c>
      <c r="B53" s="20"/>
      <c r="C53" s="63">
        <v>110</v>
      </c>
      <c r="D53" s="430">
        <f t="shared" si="42"/>
        <v>79.566666666666663</v>
      </c>
      <c r="E53" s="6">
        <v>90</v>
      </c>
      <c r="F53" s="430">
        <f t="shared" si="43"/>
        <v>27.147540983606557</v>
      </c>
      <c r="G53" s="640">
        <v>105</v>
      </c>
      <c r="H53" s="430">
        <f t="shared" si="44"/>
        <v>40.026109660574413</v>
      </c>
      <c r="I53" s="6">
        <v>180</v>
      </c>
      <c r="J53" s="430">
        <f t="shared" si="45"/>
        <v>124.48051948051948</v>
      </c>
      <c r="K53" s="436">
        <f t="shared" si="46"/>
        <v>271.22083679136711</v>
      </c>
    </row>
    <row r="54" spans="1:15" ht="13.5">
      <c r="A54" s="382">
        <f>Gen!B19</f>
        <v>43899</v>
      </c>
      <c r="B54" s="20"/>
      <c r="C54" s="63">
        <v>60</v>
      </c>
      <c r="D54" s="430">
        <f t="shared" si="42"/>
        <v>43.4</v>
      </c>
      <c r="E54" s="6">
        <v>30</v>
      </c>
      <c r="F54" s="430">
        <f t="shared" si="43"/>
        <v>9.0491803278688518</v>
      </c>
      <c r="G54" s="640">
        <v>295</v>
      </c>
      <c r="H54" s="430">
        <f t="shared" si="44"/>
        <v>112.45430809399478</v>
      </c>
      <c r="I54" s="6">
        <v>200</v>
      </c>
      <c r="J54" s="430">
        <f t="shared" si="45"/>
        <v>138.3116883116883</v>
      </c>
      <c r="K54" s="436">
        <f t="shared" si="46"/>
        <v>303.21517673355197</v>
      </c>
    </row>
    <row r="55" spans="1:15" ht="13.5">
      <c r="A55" s="382">
        <f>Gen!B20</f>
        <v>43900</v>
      </c>
      <c r="B55" s="20"/>
      <c r="C55" s="63">
        <v>245</v>
      </c>
      <c r="D55" s="430">
        <f t="shared" si="42"/>
        <v>177.21666666666667</v>
      </c>
      <c r="E55" s="6">
        <v>210</v>
      </c>
      <c r="F55" s="430">
        <f t="shared" si="43"/>
        <v>63.344262295081968</v>
      </c>
      <c r="G55" s="640">
        <v>5</v>
      </c>
      <c r="H55" s="430">
        <f t="shared" si="44"/>
        <v>1.9060052219321149</v>
      </c>
      <c r="I55" s="6">
        <v>170</v>
      </c>
      <c r="J55" s="430">
        <f t="shared" si="45"/>
        <v>117.56493506493507</v>
      </c>
      <c r="K55" s="436">
        <f t="shared" si="46"/>
        <v>360.03186924861581</v>
      </c>
    </row>
    <row r="56" spans="1:15" ht="13.5">
      <c r="A56" s="382">
        <f>Gen!B21</f>
        <v>43901</v>
      </c>
      <c r="B56" s="20"/>
      <c r="C56" s="63">
        <v>240</v>
      </c>
      <c r="D56" s="430">
        <f t="shared" si="42"/>
        <v>173.6</v>
      </c>
      <c r="E56" s="6">
        <v>205</v>
      </c>
      <c r="F56" s="430">
        <f t="shared" si="43"/>
        <v>61.83606557377049</v>
      </c>
      <c r="G56" s="640">
        <v>235</v>
      </c>
      <c r="H56" s="430">
        <f t="shared" si="44"/>
        <v>89.582245430809394</v>
      </c>
      <c r="I56" s="6">
        <v>130</v>
      </c>
      <c r="J56" s="430">
        <f t="shared" si="45"/>
        <v>89.902597402597408</v>
      </c>
      <c r="K56" s="436">
        <f t="shared" si="46"/>
        <v>414.92090840717731</v>
      </c>
    </row>
    <row r="57" spans="1:15" ht="13.5">
      <c r="A57" s="382">
        <f>Gen!B22</f>
        <v>43902</v>
      </c>
      <c r="B57" s="20"/>
      <c r="C57" s="63">
        <v>191</v>
      </c>
      <c r="D57" s="430">
        <f t="shared" si="42"/>
        <v>138.15666666666667</v>
      </c>
      <c r="E57" s="6">
        <v>155</v>
      </c>
      <c r="F57" s="430">
        <f t="shared" si="43"/>
        <v>46.754098360655739</v>
      </c>
      <c r="G57" s="640">
        <v>300</v>
      </c>
      <c r="H57" s="430">
        <f t="shared" si="44"/>
        <v>114.36031331592689</v>
      </c>
      <c r="I57" s="6">
        <v>200</v>
      </c>
      <c r="J57" s="430">
        <f t="shared" si="45"/>
        <v>138.3116883116883</v>
      </c>
      <c r="K57" s="436">
        <f t="shared" si="46"/>
        <v>437.58276665493759</v>
      </c>
    </row>
    <row r="58" spans="1:15" ht="13.5">
      <c r="A58" s="382">
        <f>Gen!B23</f>
        <v>43903</v>
      </c>
      <c r="B58" s="20"/>
      <c r="C58" s="63">
        <v>146</v>
      </c>
      <c r="D58" s="430">
        <f t="shared" si="42"/>
        <v>105.60666666666667</v>
      </c>
      <c r="E58" s="6">
        <v>110</v>
      </c>
      <c r="F58" s="430">
        <f t="shared" si="43"/>
        <v>33.180327868852459</v>
      </c>
      <c r="G58" s="640">
        <v>300</v>
      </c>
      <c r="H58" s="430">
        <f t="shared" si="44"/>
        <v>114.36031331592689</v>
      </c>
      <c r="I58" s="6">
        <v>275</v>
      </c>
      <c r="J58" s="430">
        <f t="shared" si="45"/>
        <v>190.17857142857142</v>
      </c>
      <c r="K58" s="436">
        <f t="shared" si="46"/>
        <v>443.32587928001738</v>
      </c>
    </row>
    <row r="59" spans="1:15" ht="13.5">
      <c r="A59" s="382">
        <f>Gen!B24</f>
        <v>43904</v>
      </c>
      <c r="B59" s="20"/>
      <c r="C59" s="63">
        <v>195</v>
      </c>
      <c r="D59" s="430">
        <f t="shared" si="42"/>
        <v>141.05000000000001</v>
      </c>
      <c r="E59" s="6">
        <v>160</v>
      </c>
      <c r="F59" s="430">
        <f t="shared" si="43"/>
        <v>48.26229508196721</v>
      </c>
      <c r="G59" s="640">
        <v>300</v>
      </c>
      <c r="H59" s="430">
        <f t="shared" si="44"/>
        <v>114.36031331592689</v>
      </c>
      <c r="I59" s="6">
        <v>280</v>
      </c>
      <c r="J59" s="430">
        <f t="shared" si="45"/>
        <v>193.63636363636363</v>
      </c>
      <c r="K59" s="436">
        <f t="shared" si="46"/>
        <v>497.30897203425775</v>
      </c>
    </row>
    <row r="60" spans="1:15" ht="13.5">
      <c r="A60" s="382">
        <f>Gen!B25</f>
        <v>43905</v>
      </c>
      <c r="B60" s="20"/>
      <c r="C60" s="63">
        <v>250</v>
      </c>
      <c r="D60" s="430">
        <f t="shared" si="42"/>
        <v>180.83333333333334</v>
      </c>
      <c r="E60" s="6">
        <v>230</v>
      </c>
      <c r="F60" s="430">
        <f t="shared" si="43"/>
        <v>69.377049180327873</v>
      </c>
      <c r="G60" s="640">
        <v>200</v>
      </c>
      <c r="H60" s="430">
        <f t="shared" si="44"/>
        <v>76.240208877284601</v>
      </c>
      <c r="I60" s="6">
        <v>280</v>
      </c>
      <c r="J60" s="430">
        <f t="shared" si="45"/>
        <v>193.63636363636363</v>
      </c>
      <c r="K60" s="436">
        <f t="shared" si="46"/>
        <v>520.08695502730939</v>
      </c>
      <c r="L60" t="s">
        <v>250</v>
      </c>
      <c r="O60" t="s">
        <v>251</v>
      </c>
    </row>
    <row r="61" spans="1:15" ht="13.5">
      <c r="A61" s="382">
        <f>Gen!B26</f>
        <v>43906</v>
      </c>
      <c r="B61" s="20"/>
      <c r="C61" s="63">
        <v>295</v>
      </c>
      <c r="D61" s="430">
        <f t="shared" si="42"/>
        <v>213.38333333333333</v>
      </c>
      <c r="E61" s="6">
        <v>280</v>
      </c>
      <c r="F61" s="430">
        <f t="shared" si="43"/>
        <v>84.459016393442624</v>
      </c>
      <c r="G61" s="640">
        <v>150</v>
      </c>
      <c r="H61" s="430">
        <f t="shared" si="44"/>
        <v>57.180156657963444</v>
      </c>
      <c r="I61" s="6">
        <v>275</v>
      </c>
      <c r="J61" s="430">
        <f t="shared" si="45"/>
        <v>190.17857142857142</v>
      </c>
      <c r="K61" s="436">
        <f t="shared" si="46"/>
        <v>545.2010778133108</v>
      </c>
      <c r="L61" t="s">
        <v>253</v>
      </c>
      <c r="N61" t="s">
        <v>252</v>
      </c>
    </row>
    <row r="62" spans="1:15" ht="13.5">
      <c r="A62" s="382">
        <f>Gen!B27</f>
        <v>43907</v>
      </c>
      <c r="B62" s="20"/>
      <c r="C62" s="63">
        <v>285</v>
      </c>
      <c r="D62" s="430">
        <f t="shared" si="42"/>
        <v>206.15</v>
      </c>
      <c r="E62" s="6">
        <v>265</v>
      </c>
      <c r="F62" s="430">
        <f t="shared" si="43"/>
        <v>79.93442622950819</v>
      </c>
      <c r="G62" s="640">
        <v>105</v>
      </c>
      <c r="H62" s="430">
        <f t="shared" si="44"/>
        <v>40.026109660574413</v>
      </c>
      <c r="I62" s="6">
        <v>280</v>
      </c>
      <c r="J62" s="430">
        <f t="shared" si="45"/>
        <v>193.63636363636363</v>
      </c>
      <c r="K62" s="436">
        <f t="shared" si="46"/>
        <v>519.74689952644621</v>
      </c>
    </row>
    <row r="63" spans="1:15" ht="13.5">
      <c r="A63" s="382">
        <f>Gen!B28</f>
        <v>43908</v>
      </c>
      <c r="B63" s="20"/>
      <c r="C63" s="63">
        <v>280</v>
      </c>
      <c r="D63" s="430">
        <f t="shared" si="42"/>
        <v>202.53333333333333</v>
      </c>
      <c r="E63" s="6">
        <v>255</v>
      </c>
      <c r="F63" s="430">
        <f t="shared" si="43"/>
        <v>76.918032786885249</v>
      </c>
      <c r="G63" s="640">
        <v>65</v>
      </c>
      <c r="H63" s="430">
        <f t="shared" si="44"/>
        <v>24.778067885117494</v>
      </c>
      <c r="I63" s="6">
        <v>285</v>
      </c>
      <c r="J63" s="430">
        <f t="shared" si="45"/>
        <v>197.09415584415584</v>
      </c>
      <c r="K63" s="436">
        <f t="shared" si="46"/>
        <v>501.3235898494919</v>
      </c>
    </row>
    <row r="64" spans="1:15" ht="13.5">
      <c r="A64" s="382">
        <f>Gen!B29</f>
        <v>43909</v>
      </c>
      <c r="B64" s="20"/>
      <c r="C64" s="63">
        <v>225</v>
      </c>
      <c r="D64" s="430">
        <f t="shared" si="42"/>
        <v>162.75</v>
      </c>
      <c r="E64" s="6">
        <v>195</v>
      </c>
      <c r="F64" s="430">
        <f t="shared" si="43"/>
        <v>58.819672131147541</v>
      </c>
      <c r="G64" s="640">
        <v>130</v>
      </c>
      <c r="H64" s="430">
        <f t="shared" si="44"/>
        <v>49.556135770234988</v>
      </c>
      <c r="I64" s="6">
        <v>295</v>
      </c>
      <c r="J64" s="430">
        <f t="shared" si="45"/>
        <v>204.00974025974025</v>
      </c>
      <c r="K64" s="436">
        <f t="shared" si="46"/>
        <v>475.13554816112276</v>
      </c>
    </row>
    <row r="65" spans="1:11" ht="13.5">
      <c r="A65" s="382">
        <f>Gen!B30</f>
        <v>43910</v>
      </c>
      <c r="B65" s="20"/>
      <c r="C65" s="63">
        <v>150</v>
      </c>
      <c r="D65" s="430">
        <f t="shared" si="42"/>
        <v>108.5</v>
      </c>
      <c r="E65" s="6">
        <v>115</v>
      </c>
      <c r="F65" s="430">
        <f t="shared" si="43"/>
        <v>34.688524590163937</v>
      </c>
      <c r="G65" s="640">
        <v>300</v>
      </c>
      <c r="H65" s="430">
        <f t="shared" si="44"/>
        <v>114.36031331592689</v>
      </c>
      <c r="I65" s="6">
        <v>285</v>
      </c>
      <c r="J65" s="430">
        <f t="shared" si="45"/>
        <v>197.09415584415584</v>
      </c>
      <c r="K65" s="436">
        <f t="shared" si="46"/>
        <v>454.64299375024666</v>
      </c>
    </row>
    <row r="66" spans="1:11" ht="13.5">
      <c r="A66" s="382">
        <f>Gen!B31</f>
        <v>43911</v>
      </c>
      <c r="B66" s="20"/>
      <c r="C66" s="63">
        <v>160</v>
      </c>
      <c r="D66" s="430">
        <f t="shared" si="42"/>
        <v>115.73333333333333</v>
      </c>
      <c r="E66" s="6">
        <v>125</v>
      </c>
      <c r="F66" s="430">
        <f t="shared" si="43"/>
        <v>37.704918032786885</v>
      </c>
      <c r="G66" s="640">
        <v>300</v>
      </c>
      <c r="H66" s="430">
        <f t="shared" si="44"/>
        <v>114.36031331592689</v>
      </c>
      <c r="I66" s="6">
        <v>290</v>
      </c>
      <c r="J66" s="430">
        <f t="shared" si="45"/>
        <v>200.55194805194805</v>
      </c>
      <c r="K66" s="436">
        <f t="shared" si="46"/>
        <v>468.35051273399517</v>
      </c>
    </row>
    <row r="67" spans="1:11" ht="13.5">
      <c r="A67" s="382">
        <f>Gen!B32</f>
        <v>43912</v>
      </c>
      <c r="B67" s="20"/>
      <c r="C67" s="63">
        <v>147</v>
      </c>
      <c r="D67" s="430">
        <f t="shared" si="42"/>
        <v>106.33</v>
      </c>
      <c r="E67" s="6">
        <v>185</v>
      </c>
      <c r="F67" s="430">
        <f t="shared" si="43"/>
        <v>55.803278688524593</v>
      </c>
      <c r="G67" s="640">
        <v>300</v>
      </c>
      <c r="H67" s="430">
        <f t="shared" si="44"/>
        <v>114.36031331592689</v>
      </c>
      <c r="I67" s="6">
        <v>295</v>
      </c>
      <c r="J67" s="430">
        <f t="shared" si="45"/>
        <v>204.00974025974025</v>
      </c>
      <c r="K67" s="436">
        <f t="shared" si="46"/>
        <v>480.50333226419173</v>
      </c>
    </row>
    <row r="68" spans="1:11" ht="13.5">
      <c r="A68" s="382">
        <f>Gen!B33</f>
        <v>43913</v>
      </c>
      <c r="B68" s="20"/>
      <c r="C68" s="63">
        <v>270</v>
      </c>
      <c r="D68" s="430">
        <f t="shared" si="42"/>
        <v>195.3</v>
      </c>
      <c r="E68" s="6">
        <v>245</v>
      </c>
      <c r="F68" s="430">
        <f t="shared" si="43"/>
        <v>73.901639344262293</v>
      </c>
      <c r="G68" s="640">
        <v>255</v>
      </c>
      <c r="H68" s="430">
        <f t="shared" si="44"/>
        <v>97.206266318537857</v>
      </c>
      <c r="I68" s="6">
        <v>300</v>
      </c>
      <c r="J68" s="430">
        <f t="shared" si="45"/>
        <v>207.46753246753246</v>
      </c>
      <c r="K68" s="436">
        <f t="shared" si="46"/>
        <v>573.87543813033267</v>
      </c>
    </row>
    <row r="69" spans="1:11" ht="13.5">
      <c r="A69" s="382">
        <f>Gen!B34</f>
        <v>43914</v>
      </c>
      <c r="B69" s="20"/>
      <c r="C69" s="63">
        <v>300</v>
      </c>
      <c r="D69" s="430">
        <f t="shared" si="42"/>
        <v>217</v>
      </c>
      <c r="E69" s="6">
        <v>300</v>
      </c>
      <c r="F69" s="430">
        <f t="shared" si="43"/>
        <v>90.491803278688522</v>
      </c>
      <c r="G69" s="640">
        <v>210</v>
      </c>
      <c r="H69" s="430">
        <f t="shared" si="44"/>
        <v>80.052219321148826</v>
      </c>
      <c r="I69" s="6">
        <v>300</v>
      </c>
      <c r="J69" s="430">
        <f t="shared" si="45"/>
        <v>207.46753246753246</v>
      </c>
      <c r="K69" s="436">
        <f t="shared" si="46"/>
        <v>595.01155506736973</v>
      </c>
    </row>
    <row r="70" spans="1:11" ht="13.5">
      <c r="A70" s="382">
        <f>Gen!B35</f>
        <v>43915</v>
      </c>
      <c r="B70" s="20"/>
      <c r="C70" s="63">
        <v>290</v>
      </c>
      <c r="D70" s="430">
        <f t="shared" si="42"/>
        <v>209.76666666666668</v>
      </c>
      <c r="E70" s="6">
        <v>265</v>
      </c>
      <c r="F70" s="430">
        <f t="shared" si="43"/>
        <v>79.93442622950819</v>
      </c>
      <c r="G70" s="640">
        <v>210</v>
      </c>
      <c r="H70" s="430">
        <f t="shared" si="44"/>
        <v>80.052219321148826</v>
      </c>
      <c r="I70" s="6">
        <v>280</v>
      </c>
      <c r="J70" s="430">
        <f t="shared" si="45"/>
        <v>193.63636363636363</v>
      </c>
      <c r="K70" s="436">
        <f t="shared" si="46"/>
        <v>563.38967585368732</v>
      </c>
    </row>
    <row r="71" spans="1:11" ht="13.5">
      <c r="A71" s="382">
        <f>Gen!B36</f>
        <v>43916</v>
      </c>
      <c r="B71" s="20"/>
      <c r="C71" s="63">
        <v>290</v>
      </c>
      <c r="D71" s="430">
        <f t="shared" si="42"/>
        <v>209.76666666666668</v>
      </c>
      <c r="E71" s="6">
        <v>265</v>
      </c>
      <c r="F71" s="430">
        <f t="shared" si="43"/>
        <v>79.93442622950819</v>
      </c>
      <c r="G71" s="640">
        <v>220</v>
      </c>
      <c r="H71" s="430">
        <f t="shared" si="44"/>
        <v>83.86422976501305</v>
      </c>
      <c r="I71" s="6">
        <v>280</v>
      </c>
      <c r="J71" s="430">
        <f t="shared" si="45"/>
        <v>193.63636363636363</v>
      </c>
      <c r="K71" s="436">
        <f t="shared" si="46"/>
        <v>567.20168629755153</v>
      </c>
    </row>
    <row r="72" spans="1:11" ht="13.5">
      <c r="A72" s="382">
        <f>Gen!B37</f>
        <v>43917</v>
      </c>
      <c r="B72" s="20"/>
      <c r="C72" s="63">
        <v>175</v>
      </c>
      <c r="D72" s="430">
        <f t="shared" si="42"/>
        <v>126.58333333333333</v>
      </c>
      <c r="E72" s="6">
        <v>150</v>
      </c>
      <c r="F72" s="430">
        <f t="shared" si="43"/>
        <v>45.245901639344261</v>
      </c>
      <c r="G72" s="640">
        <v>300</v>
      </c>
      <c r="H72" s="430">
        <f t="shared" si="44"/>
        <v>114.36031331592689</v>
      </c>
      <c r="I72" s="6">
        <v>280</v>
      </c>
      <c r="J72" s="430">
        <f t="shared" si="45"/>
        <v>193.63636363636363</v>
      </c>
      <c r="K72" s="436">
        <f t="shared" si="46"/>
        <v>479.82591192496812</v>
      </c>
    </row>
    <row r="73" spans="1:11" ht="13.5">
      <c r="A73" s="382">
        <f>Gen!B38</f>
        <v>43918</v>
      </c>
      <c r="B73" s="20"/>
      <c r="C73" s="63">
        <v>220</v>
      </c>
      <c r="D73" s="430">
        <f t="shared" si="42"/>
        <v>159.13333333333333</v>
      </c>
      <c r="E73" s="6">
        <v>195</v>
      </c>
      <c r="F73" s="430">
        <f t="shared" si="43"/>
        <v>58.819672131147541</v>
      </c>
      <c r="G73" s="640">
        <v>270</v>
      </c>
      <c r="H73" s="430">
        <f t="shared" si="44"/>
        <v>102.9242819843342</v>
      </c>
      <c r="I73" s="6">
        <v>275</v>
      </c>
      <c r="J73" s="430">
        <f t="shared" si="45"/>
        <v>190.17857142857142</v>
      </c>
      <c r="K73" s="436">
        <f t="shared" si="46"/>
        <v>511.05585887738653</v>
      </c>
    </row>
    <row r="74" spans="1:11" ht="13.5">
      <c r="A74" s="382">
        <f>Gen!B39</f>
        <v>43919</v>
      </c>
      <c r="B74" s="20"/>
      <c r="C74" s="63">
        <v>220</v>
      </c>
      <c r="D74" s="430">
        <f t="shared" si="42"/>
        <v>159.13333333333333</v>
      </c>
      <c r="E74" s="6">
        <v>195</v>
      </c>
      <c r="F74" s="430">
        <f t="shared" si="43"/>
        <v>58.819672131147541</v>
      </c>
      <c r="G74" s="640">
        <v>270</v>
      </c>
      <c r="H74" s="430">
        <f t="shared" si="44"/>
        <v>102.9242819843342</v>
      </c>
      <c r="I74" s="6">
        <v>275</v>
      </c>
      <c r="J74" s="430">
        <f t="shared" si="45"/>
        <v>190.17857142857142</v>
      </c>
      <c r="K74" s="436">
        <f t="shared" si="46"/>
        <v>511.05585887738653</v>
      </c>
    </row>
    <row r="75" spans="1:11" ht="14.25" thickBot="1">
      <c r="A75" s="382">
        <f>Gen!B40</f>
        <v>43920</v>
      </c>
      <c r="B75" s="332"/>
      <c r="C75" s="63">
        <v>255</v>
      </c>
      <c r="D75" s="430">
        <f t="shared" si="42"/>
        <v>184.45</v>
      </c>
      <c r="E75" s="6">
        <v>220</v>
      </c>
      <c r="F75" s="430">
        <f t="shared" si="43"/>
        <v>66.360655737704917</v>
      </c>
      <c r="G75" s="640">
        <v>260</v>
      </c>
      <c r="H75" s="430">
        <f t="shared" si="44"/>
        <v>99.112271540469976</v>
      </c>
      <c r="I75" s="6">
        <v>270</v>
      </c>
      <c r="J75" s="430">
        <f t="shared" si="45"/>
        <v>186.72077922077921</v>
      </c>
      <c r="K75" s="436">
        <f t="shared" si="46"/>
        <v>536.64370649895409</v>
      </c>
    </row>
    <row r="76" spans="1:11" ht="13.5">
      <c r="A76" s="382">
        <f>Gen!B41</f>
        <v>43921</v>
      </c>
      <c r="C76" s="63">
        <v>135</v>
      </c>
      <c r="D76" s="430">
        <f t="shared" si="42"/>
        <v>97.65</v>
      </c>
      <c r="E76" s="6">
        <v>120</v>
      </c>
      <c r="F76" s="430">
        <f t="shared" si="43"/>
        <v>36.196721311475407</v>
      </c>
      <c r="G76" s="640">
        <v>300</v>
      </c>
      <c r="H76" s="430">
        <f t="shared" si="44"/>
        <v>114.36031331592689</v>
      </c>
      <c r="I76" s="6">
        <v>270</v>
      </c>
      <c r="J76" s="430">
        <f t="shared" si="45"/>
        <v>186.72077922077921</v>
      </c>
      <c r="K76" s="436">
        <f t="shared" si="46"/>
        <v>434.92781384818153</v>
      </c>
    </row>
    <row r="77" spans="1:11" ht="14.25" thickBot="1">
      <c r="A77" s="382">
        <f>Gen!B42</f>
        <v>43922</v>
      </c>
      <c r="C77" s="63"/>
      <c r="D77" s="430">
        <f t="shared" si="42"/>
        <v>0</v>
      </c>
      <c r="E77" s="6"/>
      <c r="F77" s="430">
        <f t="shared" si="43"/>
        <v>0</v>
      </c>
      <c r="G77" s="640"/>
      <c r="H77" s="430">
        <f t="shared" si="44"/>
        <v>0</v>
      </c>
      <c r="I77" s="6"/>
      <c r="J77" s="430">
        <f t="shared" si="45"/>
        <v>0</v>
      </c>
      <c r="K77" s="437">
        <f t="shared" si="46"/>
        <v>0</v>
      </c>
    </row>
    <row r="78" spans="1:11" ht="13.5">
      <c r="A78" s="382" t="str">
        <f>Gen!B43</f>
        <v>BF</v>
      </c>
    </row>
  </sheetData>
  <mergeCells count="43"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sqref="A1:XFD104857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23</v>
      </c>
      <c r="C1" s="14" t="s">
        <v>24</v>
      </c>
    </row>
    <row r="2" spans="1:3">
      <c r="A2" s="96">
        <f>SUM([1]Gen!A11)</f>
        <v>43739</v>
      </c>
      <c r="B2" s="13" t="e">
        <f>SUM('[1]Water-Meter'!R10)</f>
        <v>#REF!</v>
      </c>
      <c r="C2" s="94">
        <f>SUM([1]Gen!B11)</f>
        <v>0.623</v>
      </c>
    </row>
    <row r="3" spans="1:3">
      <c r="A3" s="96">
        <f>SUM([1]Gen!A12)</f>
        <v>43740</v>
      </c>
      <c r="B3" s="13" t="e">
        <f>SUM('[1]Water-Meter'!R11)</f>
        <v>#REF!</v>
      </c>
      <c r="C3" s="94">
        <f>SUM([1]Gen!B12)</f>
        <v>0.77900000000000003</v>
      </c>
    </row>
    <row r="4" spans="1:3">
      <c r="A4" s="96">
        <f>SUM([1]Gen!A13)</f>
        <v>43741</v>
      </c>
      <c r="B4" s="13" t="e">
        <f>SUM('[1]Water-Meter'!R12)</f>
        <v>#REF!</v>
      </c>
      <c r="C4" s="94">
        <f>SUM([1]Gen!B13)</f>
        <v>0.53200000000000003</v>
      </c>
    </row>
    <row r="5" spans="1:3">
      <c r="A5" s="96">
        <f>SUM([1]Gen!A14)</f>
        <v>43742</v>
      </c>
      <c r="B5" s="13" t="e">
        <f>SUM('[1]Water-Meter'!R13)</f>
        <v>#REF!</v>
      </c>
      <c r="C5" s="94">
        <f>SUM([1]Gen!B14)</f>
        <v>0.61</v>
      </c>
    </row>
    <row r="6" spans="1:3">
      <c r="A6" s="96">
        <f>SUM([1]Gen!A15)</f>
        <v>43743</v>
      </c>
      <c r="B6" s="13" t="e">
        <f>SUM('[1]Water-Meter'!R14)</f>
        <v>#REF!</v>
      </c>
      <c r="C6" s="94">
        <f>SUM([1]Gen!B15)</f>
        <v>0.68799999999999994</v>
      </c>
    </row>
    <row r="7" spans="1:3">
      <c r="A7" s="96">
        <f>SUM([1]Gen!A16)</f>
        <v>43744</v>
      </c>
      <c r="B7" s="13" t="e">
        <f>SUM('[1]Water-Meter'!R15)</f>
        <v>#REF!</v>
      </c>
      <c r="C7" s="94">
        <f>SUM([1]Gen!B16)</f>
        <v>0.53200000000000003</v>
      </c>
    </row>
    <row r="8" spans="1:3">
      <c r="A8" s="96">
        <f>SUM([1]Gen!A17)</f>
        <v>43745</v>
      </c>
      <c r="B8" s="13" t="e">
        <f>SUM('[1]Water-Meter'!R16)</f>
        <v>#REF!</v>
      </c>
      <c r="C8" s="94">
        <f>SUM([1]Gen!B17)</f>
        <v>0.753</v>
      </c>
    </row>
    <row r="9" spans="1:3">
      <c r="A9" s="96">
        <f>SUM([1]Gen!A18)</f>
        <v>43746</v>
      </c>
      <c r="B9" s="13" t="e">
        <f>SUM('[1]Water-Meter'!R17)</f>
        <v>#REF!</v>
      </c>
      <c r="C9" s="94">
        <f>SUM([1]Gen!B18)</f>
        <v>0.156</v>
      </c>
    </row>
    <row r="10" spans="1:3">
      <c r="A10" s="96">
        <f>SUM([1]Gen!A19)</f>
        <v>43747</v>
      </c>
      <c r="B10" s="13" t="e">
        <f>SUM('[1]Water-Meter'!R18)</f>
        <v>#REF!</v>
      </c>
      <c r="C10" s="94">
        <f>SUM([1]Gen!B19)</f>
        <v>0.442</v>
      </c>
    </row>
    <row r="11" spans="1:3">
      <c r="A11" s="96">
        <f>SUM([1]Gen!A20)</f>
        <v>43748</v>
      </c>
      <c r="B11" s="13" t="e">
        <f>SUM('[1]Water-Meter'!R19)</f>
        <v>#REF!</v>
      </c>
      <c r="C11" s="94">
        <f>SUM([1]Gen!B20)</f>
        <v>0.32500000000000001</v>
      </c>
    </row>
    <row r="12" spans="1:3">
      <c r="A12" s="96">
        <f>SUM([1]Gen!A21)</f>
        <v>43749</v>
      </c>
      <c r="B12" s="13" t="e">
        <f>SUM('[1]Water-Meter'!R20)</f>
        <v>#REF!</v>
      </c>
      <c r="C12" s="94">
        <f>SUM([1]Gen!B21)</f>
        <v>0.45500000000000002</v>
      </c>
    </row>
    <row r="13" spans="1:3">
      <c r="A13" s="96">
        <f>SUM([1]Gen!A22)</f>
        <v>43750</v>
      </c>
      <c r="B13" s="13" t="e">
        <f>SUM('[1]Water-Meter'!R21)</f>
        <v>#REF!</v>
      </c>
      <c r="C13" s="94">
        <f>SUM([1]Gen!B22)</f>
        <v>0.41599999999999998</v>
      </c>
    </row>
    <row r="14" spans="1:3">
      <c r="A14" s="96">
        <f>SUM([1]Gen!A23)</f>
        <v>43751</v>
      </c>
      <c r="B14" s="13" t="e">
        <f>SUM('[1]Water-Meter'!R22)</f>
        <v>#REF!</v>
      </c>
      <c r="C14" s="94">
        <f>SUM([1]Gen!B23)</f>
        <v>0.39</v>
      </c>
    </row>
    <row r="15" spans="1:3">
      <c r="A15" s="96">
        <f>SUM([1]Gen!A24)</f>
        <v>43752</v>
      </c>
      <c r="B15" s="13" t="e">
        <f>SUM('[1]Water-Meter'!R23)</f>
        <v>#REF!</v>
      </c>
      <c r="C15" s="94">
        <f>SUM([1]Gen!B24)</f>
        <v>0.63600000000000001</v>
      </c>
    </row>
    <row r="16" spans="1:3">
      <c r="A16" s="96">
        <f>SUM([1]Gen!A25)</f>
        <v>43753</v>
      </c>
      <c r="B16" s="13" t="e">
        <f>SUM('[1]Water-Meter'!R24)</f>
        <v>#REF!</v>
      </c>
      <c r="C16" s="94">
        <f>SUM([1]Gen!B25)</f>
        <v>0.84399999999999997</v>
      </c>
    </row>
    <row r="17" spans="1:3">
      <c r="A17" s="96">
        <f>SUM([1]Gen!A26)</f>
        <v>43754</v>
      </c>
      <c r="B17" s="13" t="e">
        <f>SUM('[1]Water-Meter'!R25)</f>
        <v>#REF!</v>
      </c>
      <c r="C17" s="94">
        <f>SUM([1]Gen!B26)</f>
        <v>0.81799999999999995</v>
      </c>
    </row>
    <row r="18" spans="1:3">
      <c r="A18" s="96">
        <f>SUM([1]Gen!A27)</f>
        <v>43755</v>
      </c>
      <c r="B18" s="13" t="e">
        <f>SUM('[1]Water-Meter'!R26)</f>
        <v>#REF!</v>
      </c>
      <c r="C18" s="94">
        <f>SUM([1]Gen!B27)</f>
        <v>0.20799999999999999</v>
      </c>
    </row>
    <row r="19" spans="1:3">
      <c r="A19" s="96">
        <f>SUM([1]Gen!A28)</f>
        <v>43756</v>
      </c>
      <c r="B19" s="13" t="e">
        <f>SUM('[1]Water-Meter'!R27)</f>
        <v>#REF!</v>
      </c>
      <c r="C19" s="94">
        <f>SUM([1]Gen!B28)</f>
        <v>0.221</v>
      </c>
    </row>
    <row r="20" spans="1:3">
      <c r="A20" s="96">
        <f>SUM([1]Gen!A29)</f>
        <v>43757</v>
      </c>
      <c r="B20" s="13" t="e">
        <f>SUM('[1]Water-Meter'!R28)</f>
        <v>#REF!</v>
      </c>
      <c r="C20" s="94">
        <f>SUM([1]Gen!B29)</f>
        <v>0.11700000000000001</v>
      </c>
    </row>
    <row r="21" spans="1:3">
      <c r="A21" s="96">
        <f>SUM([1]Gen!A30)</f>
        <v>43758</v>
      </c>
      <c r="B21" s="13" t="e">
        <f>SUM('[1]Water-Meter'!R29)</f>
        <v>#REF!</v>
      </c>
      <c r="C21" s="94">
        <f>SUM([1]Gen!B30)</f>
        <v>0.57099999999999995</v>
      </c>
    </row>
    <row r="22" spans="1:3">
      <c r="A22" s="96">
        <f>SUM([1]Gen!A31)</f>
        <v>43759</v>
      </c>
      <c r="B22" s="13" t="e">
        <f>SUM('[1]Water-Meter'!R30)</f>
        <v>#REF!</v>
      </c>
      <c r="C22" s="94">
        <f>SUM([1]Gen!B31)</f>
        <v>0.55800000000000005</v>
      </c>
    </row>
    <row r="23" spans="1:3">
      <c r="A23" s="96">
        <f>SUM([1]Gen!A32)</f>
        <v>43760</v>
      </c>
      <c r="B23" s="13" t="e">
        <f>SUM('[1]Water-Meter'!R31)</f>
        <v>#REF!</v>
      </c>
      <c r="C23" s="94">
        <f>SUM([1]Gen!B32)</f>
        <v>0.40300000000000002</v>
      </c>
    </row>
    <row r="24" spans="1:3">
      <c r="A24" s="96">
        <f>SUM([1]Gen!A33)</f>
        <v>43761</v>
      </c>
      <c r="B24" s="13" t="e">
        <f>SUM('[1]Water-Meter'!R32)</f>
        <v>#REF!</v>
      </c>
      <c r="C24" s="94">
        <f>SUM([1]Gen!B33)</f>
        <v>0.24</v>
      </c>
    </row>
    <row r="25" spans="1:3">
      <c r="A25" s="96">
        <f>SUM([1]Gen!A34)</f>
        <v>43762</v>
      </c>
      <c r="B25" s="13" t="e">
        <f>SUM('[1]Water-Meter'!R33)</f>
        <v>#REF!</v>
      </c>
      <c r="C25" s="94">
        <f>SUM([1]Gen!B34)</f>
        <v>0.09</v>
      </c>
    </row>
    <row r="26" spans="1:3">
      <c r="A26" s="96">
        <f>SUM([1]Gen!A35)</f>
        <v>43763</v>
      </c>
      <c r="B26" s="13" t="e">
        <f>SUM('[1]Water-Meter'!R34)</f>
        <v>#REF!</v>
      </c>
      <c r="C26" s="94">
        <f>SUM([1]Gen!B35)</f>
        <v>0.28599999999999998</v>
      </c>
    </row>
    <row r="27" spans="1:3">
      <c r="A27" s="96">
        <f>SUM([1]Gen!A36)</f>
        <v>43764</v>
      </c>
      <c r="B27" s="13" t="e">
        <f>SUM('[1]Water-Meter'!R35)</f>
        <v>#REF!</v>
      </c>
      <c r="C27" s="94">
        <f>SUM([1]Gen!B36)</f>
        <v>0.54500000000000004</v>
      </c>
    </row>
    <row r="28" spans="1:3">
      <c r="A28" s="96">
        <f>SUM([1]Gen!A37)</f>
        <v>43765</v>
      </c>
      <c r="B28" s="13" t="e">
        <f>SUM('[1]Water-Meter'!R36)</f>
        <v>#REF!</v>
      </c>
      <c r="C28" s="94">
        <f>SUM([1]Gen!B37)</f>
        <v>0.67500000000000004</v>
      </c>
    </row>
    <row r="29" spans="1:3">
      <c r="A29" s="96">
        <f>SUM([1]Gen!A38)</f>
        <v>43766</v>
      </c>
      <c r="B29" s="13" t="e">
        <f>SUM('[1]Water-Meter'!R37)</f>
        <v>#REF!</v>
      </c>
      <c r="C29" s="94">
        <f>SUM([1]Gen!B38)</f>
        <v>0.27300000000000002</v>
      </c>
    </row>
    <row r="30" spans="1:3">
      <c r="A30" s="96">
        <f>SUM([1]Gen!A39)</f>
        <v>43767</v>
      </c>
      <c r="B30" s="13">
        <f>SUM('[1]Water-Meter'!R38)</f>
        <v>-212333</v>
      </c>
      <c r="C30" s="94" t="e">
        <f>SUM([1]Gen!B39)</f>
        <v>#REF!</v>
      </c>
    </row>
    <row r="31" spans="1:3">
      <c r="A31" s="96">
        <f>SUM([1]Gen!A40)</f>
        <v>43768</v>
      </c>
      <c r="B31" s="13" t="e">
        <f>SUM('[1]Water-Meter'!R39)</f>
        <v>#REF!</v>
      </c>
      <c r="C31" s="94" t="e">
        <f>SUM([1]Gen!B40)</f>
        <v>#REF!</v>
      </c>
    </row>
    <row r="32" spans="1:3">
      <c r="A32" s="96">
        <f>SUM([1]Gen!A41)</f>
        <v>43769</v>
      </c>
      <c r="B32" s="13" t="e">
        <f>SUM('[1]Water-Meter'!R40)</f>
        <v>#REF!</v>
      </c>
      <c r="C32" s="94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sqref="A1:XFD1048576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128" t="s">
        <v>182</v>
      </c>
      <c r="B2" s="558"/>
      <c r="C2" s="587"/>
      <c r="D2" s="587"/>
      <c r="E2" s="587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92">
        <v>2209.85</v>
      </c>
      <c r="R2" s="588" t="s">
        <v>69</v>
      </c>
      <c r="S2" s="588" t="s">
        <v>70</v>
      </c>
      <c r="T2" s="92">
        <v>1584</v>
      </c>
      <c r="U2" s="62"/>
      <c r="V2" s="66"/>
      <c r="W2" s="61"/>
    </row>
    <row r="3" spans="1:27" ht="38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  <c r="M3" s="121" t="s">
        <v>49</v>
      </c>
      <c r="N3" s="121"/>
      <c r="O3" s="121"/>
      <c r="P3" s="121" t="s">
        <v>44</v>
      </c>
      <c r="Q3" s="122" t="s">
        <v>56</v>
      </c>
      <c r="R3" s="122"/>
      <c r="S3" s="122"/>
      <c r="T3" s="589"/>
      <c r="U3" s="590"/>
      <c r="V3" s="68" t="s">
        <v>57</v>
      </c>
      <c r="W3" s="121" t="s">
        <v>79</v>
      </c>
      <c r="AA3" s="152" t="s">
        <v>80</v>
      </c>
    </row>
    <row r="4" spans="1:27" s="51" customFormat="1" ht="50.25" customHeight="1">
      <c r="A4" s="64" t="s">
        <v>0</v>
      </c>
      <c r="B4" s="82" t="s">
        <v>67</v>
      </c>
      <c r="C4" s="53" t="s">
        <v>51</v>
      </c>
      <c r="D4" s="53" t="s">
        <v>65</v>
      </c>
      <c r="E4" s="53" t="s">
        <v>66</v>
      </c>
      <c r="F4" s="74" t="s">
        <v>42</v>
      </c>
      <c r="G4" s="53" t="s">
        <v>45</v>
      </c>
      <c r="H4" s="53" t="s">
        <v>46</v>
      </c>
      <c r="I4" s="53" t="s">
        <v>47</v>
      </c>
      <c r="J4" s="53" t="s">
        <v>48</v>
      </c>
      <c r="K4" s="74" t="s">
        <v>52</v>
      </c>
      <c r="L4" s="74" t="s">
        <v>77</v>
      </c>
      <c r="M4" s="53">
        <v>3</v>
      </c>
      <c r="N4" s="53">
        <v>2</v>
      </c>
      <c r="O4" s="53">
        <v>1</v>
      </c>
      <c r="P4" s="57"/>
      <c r="Q4" s="60" t="s">
        <v>54</v>
      </c>
      <c r="R4" s="60" t="s">
        <v>64</v>
      </c>
      <c r="S4" s="60" t="s">
        <v>63</v>
      </c>
      <c r="T4" s="60" t="s">
        <v>20</v>
      </c>
      <c r="U4" s="65" t="s">
        <v>55</v>
      </c>
      <c r="V4" s="67"/>
      <c r="W4" s="56"/>
    </row>
    <row r="5" spans="1:27">
      <c r="A5" s="54">
        <f>SUM([1]Gen!A11)</f>
        <v>43739</v>
      </c>
      <c r="B5" s="84">
        <v>0</v>
      </c>
      <c r="C5" s="89">
        <f>SUM([1]Gen!B11)</f>
        <v>0.623</v>
      </c>
      <c r="D5" s="586">
        <f>SUM(77*C5)</f>
        <v>47.970999999999997</v>
      </c>
      <c r="E5" s="76"/>
      <c r="F5" s="72">
        <f>[1]Gen!T11</f>
        <v>5669</v>
      </c>
      <c r="G5" s="87">
        <f>[1]Gen!S11</f>
        <v>2179.4799999999996</v>
      </c>
      <c r="H5" s="87" t="e">
        <f>[1]Gen!#REF!</f>
        <v>#REF!</v>
      </c>
      <c r="I5" s="87" t="e">
        <f t="shared" ref="I5:I35" si="0">SUM(G5:H5)</f>
        <v>#REF!</v>
      </c>
      <c r="J5" s="87">
        <f>[1]Gen!AT11</f>
        <v>47806.650000000031</v>
      </c>
      <c r="K5" s="71">
        <f>'[1]Water-Meter'!E10</f>
        <v>114</v>
      </c>
      <c r="L5" s="69" t="e">
        <f>#REF!</f>
        <v>#REF!</v>
      </c>
      <c r="M5" s="90" t="e">
        <f>#REF!</f>
        <v>#REF!</v>
      </c>
      <c r="N5" s="90" t="e">
        <f>#REF!</f>
        <v>#REF!</v>
      </c>
      <c r="O5" s="90" t="e">
        <f>#REF!</f>
        <v>#REF!</v>
      </c>
      <c r="P5" s="91">
        <f t="shared" ref="P5:P35" si="1">J5/52000</f>
        <v>0.91935865384615445</v>
      </c>
      <c r="Q5" s="6" t="e">
        <f>I5*Q2</f>
        <v>#REF!</v>
      </c>
      <c r="R5" s="78" t="e">
        <f>SUM(Q5/D5)/X5</f>
        <v>#REF!</v>
      </c>
      <c r="S5" s="591" t="e">
        <f>SUM(Q5/E5)/X5</f>
        <v>#REF!</v>
      </c>
      <c r="T5" s="78">
        <f>(K5*102)/X5</f>
        <v>7.3409090909090908</v>
      </c>
      <c r="U5" s="124" t="e">
        <f>SUM(L5*1963)/X5</f>
        <v>#REF!</v>
      </c>
      <c r="V5" s="18" t="e">
        <f>SUM(Q5+T5+U5)</f>
        <v>#REF!</v>
      </c>
      <c r="W5" s="126" t="e">
        <f>SUM(V5/E5)/T2</f>
        <v>#REF!</v>
      </c>
      <c r="X5">
        <f>SUM(T2)</f>
        <v>1584</v>
      </c>
      <c r="Y5" s="592">
        <v>106</v>
      </c>
      <c r="Z5" s="81" t="e">
        <f>SUM(Y5-S5)</f>
        <v>#REF!</v>
      </c>
      <c r="AA5">
        <v>106</v>
      </c>
    </row>
    <row r="6" spans="1:27">
      <c r="A6" s="54">
        <f>SUM([1]Gen!A12)</f>
        <v>43740</v>
      </c>
      <c r="B6" s="84">
        <v>0</v>
      </c>
      <c r="C6" s="89">
        <f>SUM([1]Gen!B12)</f>
        <v>0.77900000000000003</v>
      </c>
      <c r="D6" s="586">
        <f t="shared" ref="D6:D35" si="2">SUM(77*C6)</f>
        <v>59.983000000000004</v>
      </c>
      <c r="E6" s="76"/>
      <c r="F6" s="72">
        <f>[1]Gen!T12</f>
        <v>6159</v>
      </c>
      <c r="G6" s="87">
        <f>[1]Gen!S12</f>
        <v>2472.85</v>
      </c>
      <c r="H6" s="87" t="e">
        <f>[1]Gen!#REF!</f>
        <v>#REF!</v>
      </c>
      <c r="I6" s="87" t="e">
        <f t="shared" si="0"/>
        <v>#REF!</v>
      </c>
      <c r="J6" s="87">
        <f>[1]Gen!AT12</f>
        <v>45423.890000000029</v>
      </c>
      <c r="K6" s="71">
        <f>'[1]Water-Meter'!E11</f>
        <v>126</v>
      </c>
      <c r="L6" s="69" t="e">
        <f>#REF!</f>
        <v>#REF!</v>
      </c>
      <c r="M6" s="90" t="e">
        <f>#REF!</f>
        <v>#REF!</v>
      </c>
      <c r="N6" s="90" t="e">
        <f>#REF!</f>
        <v>#REF!</v>
      </c>
      <c r="O6" s="90" t="e">
        <f>#REF!</f>
        <v>#REF!</v>
      </c>
      <c r="P6" s="91">
        <f t="shared" si="1"/>
        <v>0.87353634615384668</v>
      </c>
      <c r="Q6" s="6" t="e">
        <f>I6*Q2</f>
        <v>#REF!</v>
      </c>
      <c r="R6" s="78" t="e">
        <f t="shared" ref="R6:R35" si="3">SUM(Q6/D6)/X6</f>
        <v>#REF!</v>
      </c>
      <c r="S6" s="591" t="e">
        <f t="shared" ref="S6:S35" si="4">SUM(Q6/E6)/X6</f>
        <v>#REF!</v>
      </c>
      <c r="T6" s="78">
        <f t="shared" ref="T6:T35" si="5">(K6*102)/X6</f>
        <v>8.1136363636363633</v>
      </c>
      <c r="U6" s="124" t="e">
        <f t="shared" ref="U6:U35" si="6">SUM(L6*1963)/X6</f>
        <v>#REF!</v>
      </c>
      <c r="V6" s="18" t="e">
        <f t="shared" ref="V6:V36" si="7">SUM(Q6+T6+U6)</f>
        <v>#REF!</v>
      </c>
      <c r="W6" s="126" t="e">
        <f>SUM(V6/E6)/T2</f>
        <v>#REF!</v>
      </c>
      <c r="X6">
        <f>SUM(X5)</f>
        <v>1584</v>
      </c>
      <c r="Y6" s="592">
        <v>106</v>
      </c>
      <c r="Z6" s="81" t="e">
        <f t="shared" ref="Z6:Z35" si="8">SUM(Y6-S6)</f>
        <v>#REF!</v>
      </c>
    </row>
    <row r="7" spans="1:27">
      <c r="A7" s="54">
        <f>SUM([1]Gen!A13)</f>
        <v>43741</v>
      </c>
      <c r="B7" s="84">
        <v>0</v>
      </c>
      <c r="C7" s="89">
        <f>SUM([1]Gen!B13)</f>
        <v>0.53200000000000003</v>
      </c>
      <c r="D7" s="586">
        <f t="shared" si="2"/>
        <v>40.963999999999999</v>
      </c>
      <c r="E7" s="76"/>
      <c r="F7" s="72">
        <f>[1]Gen!T13</f>
        <v>6580</v>
      </c>
      <c r="G7" s="87">
        <f>[1]Gen!S13</f>
        <v>2554.3900000000003</v>
      </c>
      <c r="H7" s="87" t="e">
        <f>[1]Gen!#REF!</f>
        <v>#REF!</v>
      </c>
      <c r="I7" s="87" t="e">
        <f t="shared" si="0"/>
        <v>#REF!</v>
      </c>
      <c r="J7" s="87">
        <f>[1]Gen!AT13</f>
        <v>42919.590000000026</v>
      </c>
      <c r="K7" s="71">
        <f>'[1]Water-Meter'!E12</f>
        <v>116</v>
      </c>
      <c r="L7" s="69" t="e">
        <f>#REF!</f>
        <v>#REF!</v>
      </c>
      <c r="M7" s="90" t="e">
        <f>#REF!</f>
        <v>#REF!</v>
      </c>
      <c r="N7" s="90" t="e">
        <f>#REF!</f>
        <v>#REF!</v>
      </c>
      <c r="O7" s="90" t="e">
        <f>#REF!</f>
        <v>#REF!</v>
      </c>
      <c r="P7" s="91">
        <f t="shared" si="1"/>
        <v>0.82537673076923124</v>
      </c>
      <c r="Q7" s="6" t="e">
        <f>I7*Q2</f>
        <v>#REF!</v>
      </c>
      <c r="R7" s="78" t="e">
        <f t="shared" si="3"/>
        <v>#REF!</v>
      </c>
      <c r="S7" s="591" t="e">
        <f t="shared" si="4"/>
        <v>#REF!</v>
      </c>
      <c r="T7" s="78">
        <f t="shared" si="5"/>
        <v>7.4696969696969697</v>
      </c>
      <c r="U7" s="124" t="e">
        <f t="shared" si="6"/>
        <v>#REF!</v>
      </c>
      <c r="V7" s="18" t="e">
        <f t="shared" si="7"/>
        <v>#REF!</v>
      </c>
      <c r="W7" s="126" t="e">
        <f>SUM(V7/E7)/T2</f>
        <v>#REF!</v>
      </c>
      <c r="X7">
        <f t="shared" ref="X7:X35" si="9">SUM(X6)</f>
        <v>1584</v>
      </c>
      <c r="Y7" s="592">
        <v>106</v>
      </c>
      <c r="Z7" s="81" t="e">
        <f t="shared" si="8"/>
        <v>#REF!</v>
      </c>
    </row>
    <row r="8" spans="1:27">
      <c r="A8" s="54">
        <f>SUM([1]Gen!A14)</f>
        <v>43742</v>
      </c>
      <c r="B8" s="84">
        <v>0</v>
      </c>
      <c r="C8" s="89">
        <f>SUM([1]Gen!B14)</f>
        <v>0.61</v>
      </c>
      <c r="D8" s="586">
        <f t="shared" si="2"/>
        <v>46.97</v>
      </c>
      <c r="E8" s="76"/>
      <c r="F8" s="72">
        <f>[1]Gen!T14</f>
        <v>6223</v>
      </c>
      <c r="G8" s="87">
        <f>[1]Gen!S14</f>
        <v>2441.42</v>
      </c>
      <c r="H8" s="87" t="e">
        <f>[1]Gen!AJ9</f>
        <v>#REF!</v>
      </c>
      <c r="I8" s="87" t="e">
        <f t="shared" si="0"/>
        <v>#REF!</v>
      </c>
      <c r="J8" s="87">
        <f>[1]Gen!AT14</f>
        <v>40258.940000000024</v>
      </c>
      <c r="K8" s="71">
        <f>'[1]Water-Meter'!E13</f>
        <v>120</v>
      </c>
      <c r="L8" s="69" t="e">
        <f>#REF!</f>
        <v>#REF!</v>
      </c>
      <c r="M8" s="90" t="e">
        <f>#REF!</f>
        <v>#REF!</v>
      </c>
      <c r="N8" s="90" t="e">
        <f>#REF!</f>
        <v>#REF!</v>
      </c>
      <c r="O8" s="90" t="e">
        <f>#REF!</f>
        <v>#REF!</v>
      </c>
      <c r="P8" s="91">
        <f t="shared" si="1"/>
        <v>0.77421038461538505</v>
      </c>
      <c r="Q8" s="6" t="e">
        <f>I8*Q2</f>
        <v>#REF!</v>
      </c>
      <c r="R8" s="78" t="e">
        <f t="shared" si="3"/>
        <v>#REF!</v>
      </c>
      <c r="S8" s="591" t="e">
        <f t="shared" si="4"/>
        <v>#REF!</v>
      </c>
      <c r="T8" s="78">
        <f t="shared" si="5"/>
        <v>7.7272727272727275</v>
      </c>
      <c r="U8" s="124" t="e">
        <f t="shared" si="6"/>
        <v>#REF!</v>
      </c>
      <c r="V8" s="18" t="e">
        <f t="shared" si="7"/>
        <v>#REF!</v>
      </c>
      <c r="W8" s="126" t="e">
        <f>SUM(V8/E8)/T2</f>
        <v>#REF!</v>
      </c>
      <c r="X8">
        <f t="shared" si="9"/>
        <v>1584</v>
      </c>
      <c r="Y8" s="592">
        <v>106</v>
      </c>
      <c r="Z8" s="81" t="e">
        <f t="shared" si="8"/>
        <v>#REF!</v>
      </c>
    </row>
    <row r="9" spans="1:27">
      <c r="A9" s="54">
        <f>SUM([1]Gen!A15)</f>
        <v>43743</v>
      </c>
      <c r="B9" s="84">
        <v>0</v>
      </c>
      <c r="C9" s="89">
        <f>SUM([1]Gen!B15)</f>
        <v>0.68799999999999994</v>
      </c>
      <c r="D9" s="586">
        <f t="shared" si="2"/>
        <v>52.975999999999999</v>
      </c>
      <c r="E9" s="76"/>
      <c r="F9" s="72">
        <f>[1]Gen!T15</f>
        <v>5984</v>
      </c>
      <c r="G9" s="87">
        <f>[1]Gen!S15</f>
        <v>2338.3599999999997</v>
      </c>
      <c r="H9" s="87">
        <f>[1]Gen!AJ10</f>
        <v>0</v>
      </c>
      <c r="I9" s="87">
        <f t="shared" si="0"/>
        <v>2338.3599999999997</v>
      </c>
      <c r="J9" s="87">
        <f>[1]Gen!AT15</f>
        <v>37525.210000000021</v>
      </c>
      <c r="K9" s="71">
        <f>'[1]Water-Meter'!E14</f>
        <v>107</v>
      </c>
      <c r="L9" s="69" t="e">
        <f>#REF!</f>
        <v>#REF!</v>
      </c>
      <c r="M9" s="90" t="e">
        <f>#REF!</f>
        <v>#REF!</v>
      </c>
      <c r="N9" s="90" t="e">
        <f>#REF!</f>
        <v>#REF!</v>
      </c>
      <c r="O9" s="90" t="e">
        <f>#REF!</f>
        <v>#REF!</v>
      </c>
      <c r="P9" s="91">
        <f t="shared" si="1"/>
        <v>0.72163865384615422</v>
      </c>
      <c r="Q9" s="6">
        <f>I9*Q2</f>
        <v>5167424.845999999</v>
      </c>
      <c r="R9" s="78">
        <f t="shared" si="3"/>
        <v>61.580020393263645</v>
      </c>
      <c r="S9" s="591" t="e">
        <f t="shared" si="4"/>
        <v>#DIV/0!</v>
      </c>
      <c r="T9" s="78">
        <f t="shared" si="5"/>
        <v>6.8901515151515156</v>
      </c>
      <c r="U9" s="124" t="e">
        <f t="shared" si="6"/>
        <v>#REF!</v>
      </c>
      <c r="V9" s="18" t="e">
        <f t="shared" si="7"/>
        <v>#REF!</v>
      </c>
      <c r="W9" s="126" t="e">
        <f>SUM(V9/E9)/T2</f>
        <v>#REF!</v>
      </c>
      <c r="X9">
        <f t="shared" si="9"/>
        <v>1584</v>
      </c>
      <c r="Y9" s="592">
        <v>106</v>
      </c>
      <c r="Z9" s="81" t="e">
        <f t="shared" si="8"/>
        <v>#DIV/0!</v>
      </c>
    </row>
    <row r="10" spans="1:27">
      <c r="A10" s="54">
        <f>SUM([1]Gen!A16)</f>
        <v>43744</v>
      </c>
      <c r="B10" s="84">
        <v>0</v>
      </c>
      <c r="C10" s="89">
        <f>SUM([1]Gen!B16)</f>
        <v>0.53200000000000003</v>
      </c>
      <c r="D10" s="586">
        <f t="shared" si="2"/>
        <v>40.963999999999999</v>
      </c>
      <c r="E10" s="76"/>
      <c r="F10" s="72">
        <f>[1]Gen!T16</f>
        <v>6103</v>
      </c>
      <c r="G10" s="87">
        <f>[1]Gen!S16</f>
        <v>2478.9</v>
      </c>
      <c r="H10" s="87" t="e">
        <f>[1]Gen!#REF!</f>
        <v>#REF!</v>
      </c>
      <c r="I10" s="87" t="e">
        <f t="shared" si="0"/>
        <v>#REF!</v>
      </c>
      <c r="J10" s="87">
        <f>[1]Gen!AT16</f>
        <v>35107.690000000024</v>
      </c>
      <c r="K10" s="71">
        <f>'[1]Water-Meter'!E15</f>
        <v>123</v>
      </c>
      <c r="L10" s="69" t="e">
        <f>#REF!</f>
        <v>#REF!</v>
      </c>
      <c r="M10" s="90" t="e">
        <f>#REF!</f>
        <v>#REF!</v>
      </c>
      <c r="N10" s="90" t="e">
        <f>#REF!</f>
        <v>#REF!</v>
      </c>
      <c r="O10" s="90" t="e">
        <f>#REF!</f>
        <v>#REF!</v>
      </c>
      <c r="P10" s="91">
        <f t="shared" si="1"/>
        <v>0.67514788461538511</v>
      </c>
      <c r="Q10" s="6" t="e">
        <f>I10*Q2</f>
        <v>#REF!</v>
      </c>
      <c r="R10" s="78" t="e">
        <f t="shared" si="3"/>
        <v>#REF!</v>
      </c>
      <c r="S10" s="591" t="e">
        <f t="shared" si="4"/>
        <v>#REF!</v>
      </c>
      <c r="T10" s="78">
        <f t="shared" si="5"/>
        <v>7.9204545454545459</v>
      </c>
      <c r="U10" s="124" t="e">
        <f t="shared" si="6"/>
        <v>#REF!</v>
      </c>
      <c r="V10" s="18" t="e">
        <f t="shared" si="7"/>
        <v>#REF!</v>
      </c>
      <c r="W10" s="126" t="e">
        <f>SUM(V10/E10)/T2</f>
        <v>#REF!</v>
      </c>
      <c r="X10">
        <f t="shared" si="9"/>
        <v>1584</v>
      </c>
      <c r="Y10" s="592">
        <v>106</v>
      </c>
      <c r="Z10" s="81" t="e">
        <f t="shared" si="8"/>
        <v>#REF!</v>
      </c>
    </row>
    <row r="11" spans="1:27">
      <c r="A11" s="54">
        <f>SUM([1]Gen!A17)</f>
        <v>43745</v>
      </c>
      <c r="B11" s="84">
        <v>0</v>
      </c>
      <c r="C11" s="89">
        <f>SUM([1]Gen!B17)</f>
        <v>0.753</v>
      </c>
      <c r="D11" s="586">
        <f t="shared" si="2"/>
        <v>57.981000000000002</v>
      </c>
      <c r="E11" s="76"/>
      <c r="F11" s="72">
        <f>[1]Gen!T17</f>
        <v>5576</v>
      </c>
      <c r="G11" s="87">
        <f>[1]Gen!S17</f>
        <v>2276.44</v>
      </c>
      <c r="H11" s="87">
        <f>[1]Gen!AJ25</f>
        <v>80.56</v>
      </c>
      <c r="I11" s="87">
        <f t="shared" si="0"/>
        <v>2357</v>
      </c>
      <c r="J11" s="87">
        <f>[1]Gen!AT17</f>
        <v>47513.140000000029</v>
      </c>
      <c r="K11" s="71">
        <f>'[1]Water-Meter'!E16</f>
        <v>112</v>
      </c>
      <c r="L11" s="69" t="e">
        <f>#REF!</f>
        <v>#REF!</v>
      </c>
      <c r="M11" s="90" t="e">
        <f>#REF!</f>
        <v>#REF!</v>
      </c>
      <c r="N11" s="90" t="e">
        <f>#REF!</f>
        <v>#REF!</v>
      </c>
      <c r="O11" s="90" t="e">
        <f>#REF!</f>
        <v>#REF!</v>
      </c>
      <c r="P11" s="91">
        <f t="shared" si="1"/>
        <v>0.91371423076923131</v>
      </c>
      <c r="Q11" s="6">
        <f>I11*Q2</f>
        <v>5208616.45</v>
      </c>
      <c r="R11" s="78">
        <f t="shared" si="3"/>
        <v>56.712853535789066</v>
      </c>
      <c r="S11" s="591" t="e">
        <f t="shared" si="4"/>
        <v>#DIV/0!</v>
      </c>
      <c r="T11" s="78">
        <f t="shared" si="5"/>
        <v>7.2121212121212119</v>
      </c>
      <c r="U11" s="124" t="e">
        <f t="shared" si="6"/>
        <v>#REF!</v>
      </c>
      <c r="V11" s="18" t="e">
        <f t="shared" si="7"/>
        <v>#REF!</v>
      </c>
      <c r="W11" s="126" t="e">
        <f>SUM(V11/E11)/T2</f>
        <v>#REF!</v>
      </c>
      <c r="X11">
        <f t="shared" si="9"/>
        <v>1584</v>
      </c>
      <c r="Y11" s="592">
        <v>106</v>
      </c>
      <c r="Z11" s="81" t="e">
        <f t="shared" si="8"/>
        <v>#DIV/0!</v>
      </c>
    </row>
    <row r="12" spans="1:27">
      <c r="A12" s="54">
        <f>SUM([1]Gen!A18)</f>
        <v>43746</v>
      </c>
      <c r="B12" s="84">
        <v>0</v>
      </c>
      <c r="C12" s="89">
        <f>SUM([1]Gen!B18)</f>
        <v>0.156</v>
      </c>
      <c r="D12" s="586">
        <f t="shared" si="2"/>
        <v>12.012</v>
      </c>
      <c r="E12" s="76"/>
      <c r="F12" s="72">
        <f>[1]Gen!T18</f>
        <v>5532</v>
      </c>
      <c r="G12" s="87">
        <f>[1]Gen!S18</f>
        <v>2242.4</v>
      </c>
      <c r="H12" s="87" t="e">
        <f>[1]Gen!#REF!</f>
        <v>#REF!</v>
      </c>
      <c r="I12" s="87" t="e">
        <f t="shared" si="0"/>
        <v>#REF!</v>
      </c>
      <c r="J12" s="87">
        <f>[1]Gen!AT18</f>
        <v>45161.890000000029</v>
      </c>
      <c r="K12" s="71">
        <f>'[1]Water-Meter'!E17</f>
        <v>128</v>
      </c>
      <c r="L12" s="69" t="e">
        <f>#REF!</f>
        <v>#REF!</v>
      </c>
      <c r="M12" s="90" t="e">
        <f>#REF!</f>
        <v>#REF!</v>
      </c>
      <c r="N12" s="90" t="e">
        <f>#REF!</f>
        <v>#REF!</v>
      </c>
      <c r="O12" s="90" t="e">
        <f>#REF!</f>
        <v>#REF!</v>
      </c>
      <c r="P12" s="91">
        <f t="shared" si="1"/>
        <v>0.86849788461538513</v>
      </c>
      <c r="Q12" s="6" t="e">
        <f>I12*Q2</f>
        <v>#REF!</v>
      </c>
      <c r="R12" s="78" t="e">
        <f t="shared" si="3"/>
        <v>#REF!</v>
      </c>
      <c r="S12" s="591" t="e">
        <f t="shared" si="4"/>
        <v>#REF!</v>
      </c>
      <c r="T12" s="78">
        <f t="shared" si="5"/>
        <v>8.2424242424242422</v>
      </c>
      <c r="U12" s="124" t="e">
        <f t="shared" si="6"/>
        <v>#REF!</v>
      </c>
      <c r="V12" s="18" t="e">
        <f t="shared" si="7"/>
        <v>#REF!</v>
      </c>
      <c r="W12" s="126" t="e">
        <f>SUM(V12/E12)/T2</f>
        <v>#REF!</v>
      </c>
      <c r="X12">
        <f t="shared" si="9"/>
        <v>1584</v>
      </c>
      <c r="Y12" s="592">
        <v>106</v>
      </c>
      <c r="Z12" s="81" t="e">
        <f t="shared" si="8"/>
        <v>#REF!</v>
      </c>
    </row>
    <row r="13" spans="1:27">
      <c r="A13" s="54">
        <f>SUM([1]Gen!A19)</f>
        <v>43747</v>
      </c>
      <c r="B13" s="84">
        <v>0</v>
      </c>
      <c r="C13" s="89">
        <f>SUM([1]Gen!B19)</f>
        <v>0.442</v>
      </c>
      <c r="D13" s="586">
        <f t="shared" si="2"/>
        <v>34.033999999999999</v>
      </c>
      <c r="E13" s="76"/>
      <c r="F13" s="72">
        <f>[1]Gen!T19</f>
        <v>6233</v>
      </c>
      <c r="G13" s="87">
        <f>[1]Gen!S19</f>
        <v>2430.2700000000004</v>
      </c>
      <c r="H13" s="87" t="e">
        <f>[1]Gen!#REF!</f>
        <v>#REF!</v>
      </c>
      <c r="I13" s="87" t="e">
        <f t="shared" si="0"/>
        <v>#REF!</v>
      </c>
      <c r="J13" s="87">
        <f>[1]Gen!AT19</f>
        <v>42825.480000000025</v>
      </c>
      <c r="K13" s="71">
        <f>'[1]Water-Meter'!E18</f>
        <v>114</v>
      </c>
      <c r="L13" s="69" t="e">
        <f>#REF!</f>
        <v>#REF!</v>
      </c>
      <c r="M13" s="90" t="e">
        <f>#REF!</f>
        <v>#REF!</v>
      </c>
      <c r="N13" s="90" t="e">
        <f>#REF!</f>
        <v>#REF!</v>
      </c>
      <c r="O13" s="90" t="e">
        <f>#REF!</f>
        <v>#REF!</v>
      </c>
      <c r="P13" s="91">
        <f t="shared" si="1"/>
        <v>0.82356692307692358</v>
      </c>
      <c r="Q13" s="6" t="e">
        <f>I13*Q2</f>
        <v>#REF!</v>
      </c>
      <c r="R13" s="78" t="e">
        <f t="shared" si="3"/>
        <v>#REF!</v>
      </c>
      <c r="S13" s="591" t="e">
        <f t="shared" si="4"/>
        <v>#REF!</v>
      </c>
      <c r="T13" s="78">
        <f t="shared" si="5"/>
        <v>7.3409090909090908</v>
      </c>
      <c r="U13" s="124" t="e">
        <f t="shared" si="6"/>
        <v>#REF!</v>
      </c>
      <c r="V13" s="18" t="e">
        <f t="shared" si="7"/>
        <v>#REF!</v>
      </c>
      <c r="W13" s="126" t="e">
        <f>SUM(V13/E13)/T2</f>
        <v>#REF!</v>
      </c>
      <c r="X13">
        <f t="shared" si="9"/>
        <v>1584</v>
      </c>
      <c r="Y13" s="592">
        <v>106</v>
      </c>
      <c r="Z13" s="81" t="e">
        <f t="shared" si="8"/>
        <v>#REF!</v>
      </c>
    </row>
    <row r="14" spans="1:27">
      <c r="A14" s="54">
        <f>SUM([1]Gen!A20)</f>
        <v>43748</v>
      </c>
      <c r="B14" s="84">
        <v>0</v>
      </c>
      <c r="C14" s="89">
        <f>SUM([1]Gen!B20)</f>
        <v>0.32500000000000001</v>
      </c>
      <c r="D14" s="586">
        <f t="shared" si="2"/>
        <v>25.025000000000002</v>
      </c>
      <c r="E14" s="76"/>
      <c r="F14" s="72">
        <f>[1]Gen!T20</f>
        <v>6063</v>
      </c>
      <c r="G14" s="87">
        <f>[1]Gen!S20</f>
        <v>2463.77</v>
      </c>
      <c r="H14" s="87" t="e">
        <f>[1]Gen!#REF!</f>
        <v>#REF!</v>
      </c>
      <c r="I14" s="87" t="e">
        <f t="shared" si="0"/>
        <v>#REF!</v>
      </c>
      <c r="J14" s="87">
        <f>[1]Gen!AT20</f>
        <v>40110.380000000026</v>
      </c>
      <c r="K14" s="71">
        <f>'[1]Water-Meter'!E19</f>
        <v>119</v>
      </c>
      <c r="L14" s="69" t="e">
        <f>#REF!</f>
        <v>#REF!</v>
      </c>
      <c r="M14" s="90" t="e">
        <f>#REF!</f>
        <v>#REF!</v>
      </c>
      <c r="N14" s="90" t="e">
        <f>#REF!</f>
        <v>#REF!</v>
      </c>
      <c r="O14" s="90" t="e">
        <f>#REF!</f>
        <v>#REF!</v>
      </c>
      <c r="P14" s="91">
        <f t="shared" si="1"/>
        <v>0.77135346153846207</v>
      </c>
      <c r="Q14" s="6" t="e">
        <f>I14*Q2</f>
        <v>#REF!</v>
      </c>
      <c r="R14" s="78" t="e">
        <f t="shared" si="3"/>
        <v>#REF!</v>
      </c>
      <c r="S14" s="591" t="e">
        <f t="shared" si="4"/>
        <v>#REF!</v>
      </c>
      <c r="T14" s="78">
        <f t="shared" si="5"/>
        <v>7.6628787878787881</v>
      </c>
      <c r="U14" s="124" t="e">
        <f t="shared" si="6"/>
        <v>#REF!</v>
      </c>
      <c r="V14" s="18" t="e">
        <f t="shared" si="7"/>
        <v>#REF!</v>
      </c>
      <c r="W14" s="126" t="e">
        <f>SUM(V14/E14)/T2</f>
        <v>#REF!</v>
      </c>
      <c r="X14">
        <f t="shared" si="9"/>
        <v>1584</v>
      </c>
      <c r="Y14" s="592">
        <v>106</v>
      </c>
      <c r="Z14" s="81" t="e">
        <f t="shared" si="8"/>
        <v>#REF!</v>
      </c>
    </row>
    <row r="15" spans="1:27">
      <c r="A15" s="54">
        <f>SUM([1]Gen!A21)</f>
        <v>43749</v>
      </c>
      <c r="B15" s="84">
        <v>0</v>
      </c>
      <c r="C15" s="89">
        <f>SUM([1]Gen!B21)</f>
        <v>0.45500000000000002</v>
      </c>
      <c r="D15" s="586">
        <f t="shared" si="2"/>
        <v>35.035000000000004</v>
      </c>
      <c r="E15" s="76"/>
      <c r="F15" s="72">
        <f>[1]Gen!T21</f>
        <v>5967</v>
      </c>
      <c r="G15" s="87">
        <f>[1]Gen!S21</f>
        <v>2310.19</v>
      </c>
      <c r="H15" s="87" t="e">
        <f>[1]Gen!#REF!</f>
        <v>#REF!</v>
      </c>
      <c r="I15" s="87" t="e">
        <f t="shared" si="0"/>
        <v>#REF!</v>
      </c>
      <c r="J15" s="87">
        <f>[1]Gen!AT21</f>
        <v>37540.570000000029</v>
      </c>
      <c r="K15" s="71">
        <f>'[1]Water-Meter'!E20</f>
        <v>128</v>
      </c>
      <c r="L15" s="69" t="e">
        <f>#REF!</f>
        <v>#REF!</v>
      </c>
      <c r="M15" s="90" t="e">
        <f>#REF!</f>
        <v>#REF!</v>
      </c>
      <c r="N15" s="90" t="e">
        <f>#REF!</f>
        <v>#REF!</v>
      </c>
      <c r="O15" s="90" t="e">
        <f>#REF!</f>
        <v>#REF!</v>
      </c>
      <c r="P15" s="91">
        <f t="shared" si="1"/>
        <v>0.72193403846153903</v>
      </c>
      <c r="Q15" s="6" t="e">
        <f>I15*Q2</f>
        <v>#REF!</v>
      </c>
      <c r="R15" s="78" t="e">
        <f t="shared" si="3"/>
        <v>#REF!</v>
      </c>
      <c r="S15" s="591" t="e">
        <f t="shared" si="4"/>
        <v>#REF!</v>
      </c>
      <c r="T15" s="78">
        <f t="shared" si="5"/>
        <v>8.2424242424242422</v>
      </c>
      <c r="U15" s="124" t="e">
        <f t="shared" si="6"/>
        <v>#REF!</v>
      </c>
      <c r="V15" s="18" t="e">
        <f t="shared" si="7"/>
        <v>#REF!</v>
      </c>
      <c r="W15" s="126" t="e">
        <f>SUM(V15/E15)/T2</f>
        <v>#REF!</v>
      </c>
      <c r="X15">
        <f t="shared" si="9"/>
        <v>1584</v>
      </c>
      <c r="Y15" s="592">
        <v>106</v>
      </c>
      <c r="Z15" s="81" t="e">
        <f t="shared" si="8"/>
        <v>#REF!</v>
      </c>
    </row>
    <row r="16" spans="1:27">
      <c r="A16" s="54">
        <f>SUM([1]Gen!A22)</f>
        <v>43750</v>
      </c>
      <c r="B16" s="84">
        <v>0</v>
      </c>
      <c r="C16" s="89">
        <f>SUM([1]Gen!B22)</f>
        <v>0.41599999999999998</v>
      </c>
      <c r="D16" s="586">
        <f t="shared" si="2"/>
        <v>32.031999999999996</v>
      </c>
      <c r="E16" s="76"/>
      <c r="F16" s="72">
        <f>[1]Gen!T22</f>
        <v>5863</v>
      </c>
      <c r="G16" s="87">
        <f>[1]Gen!S22</f>
        <v>2429.17</v>
      </c>
      <c r="H16" s="87" t="e">
        <f>[1]Gen!#REF!</f>
        <v>#REF!</v>
      </c>
      <c r="I16" s="87" t="e">
        <f t="shared" si="0"/>
        <v>#REF!</v>
      </c>
      <c r="J16" s="87">
        <f>[1]Gen!AT22</f>
        <v>34967.29000000003</v>
      </c>
      <c r="K16" s="71">
        <f>'[1]Water-Meter'!E21</f>
        <v>127</v>
      </c>
      <c r="L16" s="69" t="e">
        <f>#REF!</f>
        <v>#REF!</v>
      </c>
      <c r="M16" s="90" t="e">
        <f>#REF!</f>
        <v>#REF!</v>
      </c>
      <c r="N16" s="90" t="e">
        <f>#REF!</f>
        <v>#REF!</v>
      </c>
      <c r="O16" s="90" t="e">
        <f>#REF!</f>
        <v>#REF!</v>
      </c>
      <c r="P16" s="91">
        <f t="shared" si="1"/>
        <v>0.67244788461538518</v>
      </c>
      <c r="Q16" s="6" t="e">
        <f>I16*Q2</f>
        <v>#REF!</v>
      </c>
      <c r="R16" s="78" t="e">
        <f t="shared" si="3"/>
        <v>#REF!</v>
      </c>
      <c r="S16" s="591" t="e">
        <f t="shared" si="4"/>
        <v>#REF!</v>
      </c>
      <c r="T16" s="78">
        <f t="shared" si="5"/>
        <v>8.1780303030303028</v>
      </c>
      <c r="U16" s="124" t="e">
        <f t="shared" si="6"/>
        <v>#REF!</v>
      </c>
      <c r="V16" s="18" t="e">
        <f t="shared" si="7"/>
        <v>#REF!</v>
      </c>
      <c r="W16" s="126" t="e">
        <f>SUM(V16/E16)/T2</f>
        <v>#REF!</v>
      </c>
      <c r="X16">
        <f t="shared" si="9"/>
        <v>1584</v>
      </c>
      <c r="Y16" s="592">
        <v>106</v>
      </c>
      <c r="Z16" s="81" t="e">
        <f t="shared" si="8"/>
        <v>#REF!</v>
      </c>
    </row>
    <row r="17" spans="1:26">
      <c r="A17" s="54">
        <f>SUM([1]Gen!A23)</f>
        <v>43751</v>
      </c>
      <c r="B17" s="84">
        <v>0</v>
      </c>
      <c r="C17" s="89">
        <f>SUM([1]Gen!B23)</f>
        <v>0.39</v>
      </c>
      <c r="D17" s="586">
        <f t="shared" si="2"/>
        <v>30.03</v>
      </c>
      <c r="E17" s="76"/>
      <c r="F17" s="72">
        <f>[1]Gen!T23</f>
        <v>5720</v>
      </c>
      <c r="G17" s="87">
        <f>[1]Gen!S23</f>
        <v>2249.5299999999997</v>
      </c>
      <c r="H17" s="87" t="e">
        <f>[1]Gen!#REF!</f>
        <v>#REF!</v>
      </c>
      <c r="I17" s="87" t="e">
        <f t="shared" si="0"/>
        <v>#REF!</v>
      </c>
      <c r="J17" s="87">
        <f>[1]Gen!AT23</f>
        <v>32228.760000000031</v>
      </c>
      <c r="K17" s="71">
        <f>'[1]Water-Meter'!E22</f>
        <v>122</v>
      </c>
      <c r="L17" s="69" t="e">
        <f>#REF!</f>
        <v>#REF!</v>
      </c>
      <c r="M17" s="90" t="e">
        <f>#REF!</f>
        <v>#REF!</v>
      </c>
      <c r="N17" s="90" t="e">
        <f>#REF!</f>
        <v>#REF!</v>
      </c>
      <c r="O17" s="90" t="e">
        <f>#REF!</f>
        <v>#REF!</v>
      </c>
      <c r="P17" s="91">
        <f t="shared" si="1"/>
        <v>0.61978384615384674</v>
      </c>
      <c r="Q17" s="6" t="e">
        <f>I17*Q2</f>
        <v>#REF!</v>
      </c>
      <c r="R17" s="78" t="e">
        <f t="shared" si="3"/>
        <v>#REF!</v>
      </c>
      <c r="S17" s="591" t="e">
        <f t="shared" si="4"/>
        <v>#REF!</v>
      </c>
      <c r="T17" s="78">
        <f t="shared" si="5"/>
        <v>7.8560606060606064</v>
      </c>
      <c r="U17" s="124" t="e">
        <f t="shared" si="6"/>
        <v>#REF!</v>
      </c>
      <c r="V17" s="18" t="e">
        <f t="shared" si="7"/>
        <v>#REF!</v>
      </c>
      <c r="W17" s="126" t="e">
        <f>SUM(V17/E17)/T2</f>
        <v>#REF!</v>
      </c>
      <c r="X17">
        <f t="shared" si="9"/>
        <v>1584</v>
      </c>
      <c r="Y17" s="592">
        <v>106</v>
      </c>
      <c r="Z17" s="81" t="e">
        <f t="shared" si="8"/>
        <v>#REF!</v>
      </c>
    </row>
    <row r="18" spans="1:26">
      <c r="A18" s="54">
        <f>SUM([1]Gen!A24)</f>
        <v>43752</v>
      </c>
      <c r="B18" s="84">
        <v>0</v>
      </c>
      <c r="C18" s="89">
        <f>SUM([1]Gen!B24)</f>
        <v>0.63600000000000001</v>
      </c>
      <c r="D18" s="586">
        <f t="shared" si="2"/>
        <v>48.972000000000001</v>
      </c>
      <c r="E18" s="76"/>
      <c r="F18" s="72">
        <f>[1]Gen!T24</f>
        <v>6195</v>
      </c>
      <c r="G18" s="87">
        <f>[1]Gen!S24</f>
        <v>2420.41</v>
      </c>
      <c r="H18" s="87">
        <f>[1]Gen!AJ27</f>
        <v>597.9</v>
      </c>
      <c r="I18" s="87">
        <f t="shared" si="0"/>
        <v>3018.31</v>
      </c>
      <c r="J18" s="87">
        <f>[1]Gen!AT24</f>
        <v>29915.45000000003</v>
      </c>
      <c r="K18" s="71">
        <v>0</v>
      </c>
      <c r="L18" s="69" t="e">
        <f>#REF!</f>
        <v>#REF!</v>
      </c>
      <c r="M18" s="90" t="e">
        <f>#REF!</f>
        <v>#REF!</v>
      </c>
      <c r="N18" s="90" t="e">
        <f>#REF!</f>
        <v>#REF!</v>
      </c>
      <c r="O18" s="90" t="e">
        <f>#REF!</f>
        <v>#REF!</v>
      </c>
      <c r="P18" s="91">
        <f t="shared" si="1"/>
        <v>0.57529711538461592</v>
      </c>
      <c r="Q18" s="6">
        <f>I18*Q2</f>
        <v>6670012.3534999993</v>
      </c>
      <c r="R18" s="78">
        <f t="shared" si="3"/>
        <v>85.985183059408499</v>
      </c>
      <c r="S18" s="591" t="e">
        <f t="shared" si="4"/>
        <v>#DIV/0!</v>
      </c>
      <c r="T18" s="78">
        <f t="shared" si="5"/>
        <v>0</v>
      </c>
      <c r="U18" s="124" t="e">
        <f t="shared" si="6"/>
        <v>#REF!</v>
      </c>
      <c r="V18" s="18" t="e">
        <f t="shared" si="7"/>
        <v>#REF!</v>
      </c>
      <c r="W18" s="126" t="e">
        <f>SUM(V18/E18)/T2</f>
        <v>#REF!</v>
      </c>
      <c r="X18">
        <f t="shared" si="9"/>
        <v>1584</v>
      </c>
      <c r="Y18" s="592">
        <v>106</v>
      </c>
      <c r="Z18" s="81" t="e">
        <f t="shared" si="8"/>
        <v>#DIV/0!</v>
      </c>
    </row>
    <row r="19" spans="1:26">
      <c r="A19" s="54">
        <f>SUM([1]Gen!A25)</f>
        <v>43753</v>
      </c>
      <c r="B19" s="84">
        <v>0</v>
      </c>
      <c r="C19" s="89">
        <f>SUM([1]Gen!B25)</f>
        <v>0.84399999999999997</v>
      </c>
      <c r="D19" s="586">
        <f t="shared" si="2"/>
        <v>64.988</v>
      </c>
      <c r="E19" s="76"/>
      <c r="F19" s="72">
        <f>[1]Gen!T25</f>
        <v>6450</v>
      </c>
      <c r="G19" s="87">
        <f>[1]Gen!S25</f>
        <v>2670.31</v>
      </c>
      <c r="H19" s="87">
        <f>[1]Gen!AJ28</f>
        <v>227.73000000000002</v>
      </c>
      <c r="I19" s="87">
        <f t="shared" si="0"/>
        <v>2898.04</v>
      </c>
      <c r="J19" s="87">
        <f>[1]Gen!AT25</f>
        <v>42248.240000000034</v>
      </c>
      <c r="K19" s="71">
        <f>'[1]Water-Meter'!E24</f>
        <v>104</v>
      </c>
      <c r="L19" s="69" t="e">
        <f>#REF!</f>
        <v>#REF!</v>
      </c>
      <c r="M19" s="90" t="e">
        <f>#REF!</f>
        <v>#REF!</v>
      </c>
      <c r="N19" s="90" t="e">
        <f>#REF!</f>
        <v>#REF!</v>
      </c>
      <c r="O19" s="90" t="e">
        <f>#REF!</f>
        <v>#REF!</v>
      </c>
      <c r="P19" s="91">
        <f t="shared" si="1"/>
        <v>0.8124661538461545</v>
      </c>
      <c r="Q19" s="6">
        <f>I19*Q2</f>
        <v>6404233.6939999992</v>
      </c>
      <c r="R19" s="78">
        <f t="shared" si="3"/>
        <v>62.212667369671344</v>
      </c>
      <c r="S19" s="591" t="e">
        <f t="shared" si="4"/>
        <v>#DIV/0!</v>
      </c>
      <c r="T19" s="78">
        <f t="shared" si="5"/>
        <v>6.6969696969696972</v>
      </c>
      <c r="U19" s="124" t="e">
        <f t="shared" si="6"/>
        <v>#REF!</v>
      </c>
      <c r="V19" s="18" t="e">
        <f t="shared" si="7"/>
        <v>#REF!</v>
      </c>
      <c r="W19" s="78" t="e">
        <f>SUM(V19/E19)/T2</f>
        <v>#REF!</v>
      </c>
      <c r="X19">
        <f t="shared" si="9"/>
        <v>1584</v>
      </c>
      <c r="Y19" s="592">
        <v>106</v>
      </c>
      <c r="Z19" s="81" t="e">
        <f t="shared" si="8"/>
        <v>#DIV/0!</v>
      </c>
    </row>
    <row r="20" spans="1:26">
      <c r="A20" s="54">
        <f>SUM([1]Gen!A26)</f>
        <v>43754</v>
      </c>
      <c r="B20" s="84">
        <v>0</v>
      </c>
      <c r="C20" s="89">
        <f>SUM([1]Gen!B26)</f>
        <v>0.81799999999999995</v>
      </c>
      <c r="D20" s="586">
        <f t="shared" si="2"/>
        <v>62.985999999999997</v>
      </c>
      <c r="E20" s="76"/>
      <c r="F20" s="72">
        <f>[1]Gen!T26</f>
        <v>6915</v>
      </c>
      <c r="G20" s="87">
        <f>[1]Gen!S26</f>
        <v>2741.7</v>
      </c>
      <c r="H20" s="87">
        <f>[1]Gen!AJ29</f>
        <v>88.289999999999992</v>
      </c>
      <c r="I20" s="87">
        <f t="shared" si="0"/>
        <v>2829.99</v>
      </c>
      <c r="J20" s="87">
        <f>[1]Gen!AT26</f>
        <v>39497.370000000032</v>
      </c>
      <c r="K20" s="71">
        <f>'[1]Water-Meter'!E25</f>
        <v>100</v>
      </c>
      <c r="L20" s="69" t="e">
        <f>#REF!</f>
        <v>#REF!</v>
      </c>
      <c r="M20" s="90" t="e">
        <f>#REF!</f>
        <v>#REF!</v>
      </c>
      <c r="N20" s="90" t="e">
        <f>#REF!</f>
        <v>#REF!</v>
      </c>
      <c r="O20" s="90" t="e">
        <f>#REF!</f>
        <v>#REF!</v>
      </c>
      <c r="P20" s="91">
        <f t="shared" si="1"/>
        <v>0.75956480769230827</v>
      </c>
      <c r="Q20" s="6">
        <f>I20*Q2</f>
        <v>6253853.4014999997</v>
      </c>
      <c r="R20" s="78">
        <f t="shared" si="3"/>
        <v>62.682814810818947</v>
      </c>
      <c r="S20" s="591" t="e">
        <f t="shared" si="4"/>
        <v>#DIV/0!</v>
      </c>
      <c r="T20" s="78">
        <f t="shared" si="5"/>
        <v>6.4393939393939394</v>
      </c>
      <c r="U20" s="124" t="e">
        <f t="shared" si="6"/>
        <v>#REF!</v>
      </c>
      <c r="V20" s="18" t="e">
        <f t="shared" si="7"/>
        <v>#REF!</v>
      </c>
      <c r="W20" s="78" t="e">
        <f>SUM(V20/E20)/T2</f>
        <v>#REF!</v>
      </c>
      <c r="X20">
        <f t="shared" si="9"/>
        <v>1584</v>
      </c>
      <c r="Y20" s="592">
        <v>106</v>
      </c>
      <c r="Z20" s="81" t="e">
        <f t="shared" si="8"/>
        <v>#DIV/0!</v>
      </c>
    </row>
    <row r="21" spans="1:26">
      <c r="A21" s="54">
        <f>SUM([1]Gen!A27)</f>
        <v>43755</v>
      </c>
      <c r="B21" s="84">
        <v>0</v>
      </c>
      <c r="C21" s="89">
        <f>SUM([1]Gen!B27)</f>
        <v>0.20799999999999999</v>
      </c>
      <c r="D21" s="586">
        <f t="shared" si="2"/>
        <v>16.015999999999998</v>
      </c>
      <c r="E21" s="76"/>
      <c r="F21" s="72">
        <f>[1]Gen!T27</f>
        <v>5962</v>
      </c>
      <c r="G21" s="87">
        <f>[1]Gen!S27</f>
        <v>2321.11</v>
      </c>
      <c r="H21" s="87">
        <f>[1]Gen!AJ30</f>
        <v>783.92</v>
      </c>
      <c r="I21" s="87">
        <f t="shared" si="0"/>
        <v>3105.03</v>
      </c>
      <c r="J21" s="87">
        <f>[1]Gen!AT27</f>
        <v>36688.350000000035</v>
      </c>
      <c r="K21" s="71">
        <f>'[1]Water-Meter'!E26</f>
        <v>116</v>
      </c>
      <c r="L21" s="69" t="e">
        <f>#REF!</f>
        <v>#REF!</v>
      </c>
      <c r="M21" s="90" t="e">
        <f>#REF!</f>
        <v>#REF!</v>
      </c>
      <c r="N21" s="90" t="e">
        <f>#REF!</f>
        <v>#REF!</v>
      </c>
      <c r="O21" s="90" t="e">
        <f>#REF!</f>
        <v>#REF!</v>
      </c>
      <c r="P21" s="91">
        <f t="shared" si="1"/>
        <v>0.70554519230769297</v>
      </c>
      <c r="Q21" s="6">
        <f>I21*Q2</f>
        <v>6861650.5455</v>
      </c>
      <c r="R21" s="78">
        <f t="shared" si="3"/>
        <v>270.4701605804234</v>
      </c>
      <c r="S21" s="591" t="e">
        <f t="shared" si="4"/>
        <v>#DIV/0!</v>
      </c>
      <c r="T21" s="78">
        <f t="shared" si="5"/>
        <v>7.4696969696969697</v>
      </c>
      <c r="U21" s="124" t="e">
        <f t="shared" si="6"/>
        <v>#REF!</v>
      </c>
      <c r="V21" s="18" t="e">
        <f t="shared" si="7"/>
        <v>#REF!</v>
      </c>
      <c r="W21" s="78" t="e">
        <f>SUM(V21/E21)/T2</f>
        <v>#REF!</v>
      </c>
      <c r="X21">
        <f t="shared" si="9"/>
        <v>1584</v>
      </c>
      <c r="Y21" s="592">
        <v>106</v>
      </c>
      <c r="Z21" s="81" t="e">
        <f t="shared" si="8"/>
        <v>#DIV/0!</v>
      </c>
    </row>
    <row r="22" spans="1:26">
      <c r="A22" s="54">
        <f>SUM([1]Gen!A28)</f>
        <v>43756</v>
      </c>
      <c r="B22" s="84">
        <v>0</v>
      </c>
      <c r="C22" s="89">
        <f>SUM([1]Gen!B28)</f>
        <v>0.221</v>
      </c>
      <c r="D22" s="586">
        <f t="shared" si="2"/>
        <v>17.016999999999999</v>
      </c>
      <c r="E22" s="76"/>
      <c r="F22" s="72">
        <f>[1]Gen!T28</f>
        <v>5257</v>
      </c>
      <c r="G22" s="87">
        <f>[1]Gen!S28</f>
        <v>2204.84</v>
      </c>
      <c r="H22" s="87" t="e">
        <f>[1]Gen!#REF!</f>
        <v>#REF!</v>
      </c>
      <c r="I22" s="87" t="e">
        <f t="shared" si="0"/>
        <v>#REF!</v>
      </c>
      <c r="J22" s="87">
        <f>[1]Gen!AT28</f>
        <v>33769.340000000033</v>
      </c>
      <c r="K22" s="71">
        <f>'[1]Water-Meter'!E27</f>
        <v>114</v>
      </c>
      <c r="L22" s="69" t="e">
        <f>#REF!</f>
        <v>#REF!</v>
      </c>
      <c r="M22" s="90" t="e">
        <f>#REF!</f>
        <v>#REF!</v>
      </c>
      <c r="N22" s="90" t="e">
        <f>#REF!</f>
        <v>#REF!</v>
      </c>
      <c r="O22" s="90" t="e">
        <f>#REF!</f>
        <v>#REF!</v>
      </c>
      <c r="P22" s="91">
        <f t="shared" si="1"/>
        <v>0.64941038461538525</v>
      </c>
      <c r="Q22" s="6" t="e">
        <f>I22*Q2</f>
        <v>#REF!</v>
      </c>
      <c r="R22" s="78" t="e">
        <f t="shared" si="3"/>
        <v>#REF!</v>
      </c>
      <c r="S22" s="591" t="e">
        <f t="shared" si="4"/>
        <v>#REF!</v>
      </c>
      <c r="T22" s="78">
        <f t="shared" si="5"/>
        <v>7.3409090909090908</v>
      </c>
      <c r="U22" s="124" t="e">
        <f t="shared" si="6"/>
        <v>#REF!</v>
      </c>
      <c r="V22" s="18" t="e">
        <f t="shared" si="7"/>
        <v>#REF!</v>
      </c>
      <c r="W22" s="78" t="e">
        <f>SUM(V22/E22)/T2</f>
        <v>#REF!</v>
      </c>
      <c r="X22">
        <f t="shared" si="9"/>
        <v>1584</v>
      </c>
      <c r="Y22" s="592">
        <v>106</v>
      </c>
      <c r="Z22" s="81" t="e">
        <f t="shared" si="8"/>
        <v>#REF!</v>
      </c>
    </row>
    <row r="23" spans="1:26">
      <c r="A23" s="54">
        <f>SUM([1]Gen!A29)</f>
        <v>43757</v>
      </c>
      <c r="B23" s="84">
        <v>0</v>
      </c>
      <c r="C23" s="89">
        <f>SUM([1]Gen!B29)</f>
        <v>0.11700000000000001</v>
      </c>
      <c r="D23" s="586">
        <f t="shared" si="2"/>
        <v>9.0090000000000003</v>
      </c>
      <c r="E23" s="76"/>
      <c r="F23" s="72">
        <f>[1]Gen!T29</f>
        <v>4691</v>
      </c>
      <c r="G23" s="87">
        <f>[1]Gen!S29</f>
        <v>1845.1800000000003</v>
      </c>
      <c r="H23" s="87" t="e">
        <f>[1]Gen!#REF!</f>
        <v>#REF!</v>
      </c>
      <c r="I23" s="87" t="e">
        <f t="shared" si="0"/>
        <v>#REF!</v>
      </c>
      <c r="J23" s="87">
        <f>[1]Gen!AT29</f>
        <v>31336.770000000033</v>
      </c>
      <c r="K23" s="71">
        <f>'[1]Water-Meter'!E28</f>
        <v>113</v>
      </c>
      <c r="L23" s="69" t="e">
        <f>#REF!</f>
        <v>#REF!</v>
      </c>
      <c r="M23" s="90" t="e">
        <f>#REF!</f>
        <v>#REF!</v>
      </c>
      <c r="N23" s="90" t="e">
        <f>#REF!</f>
        <v>#REF!</v>
      </c>
      <c r="O23" s="90" t="e">
        <f>#REF!</f>
        <v>#REF!</v>
      </c>
      <c r="P23" s="91">
        <f t="shared" si="1"/>
        <v>0.60263019230769299</v>
      </c>
      <c r="Q23" s="6" t="e">
        <f>I23*Q2</f>
        <v>#REF!</v>
      </c>
      <c r="R23" s="78" t="e">
        <f t="shared" si="3"/>
        <v>#REF!</v>
      </c>
      <c r="S23" s="591" t="e">
        <f t="shared" si="4"/>
        <v>#REF!</v>
      </c>
      <c r="T23" s="78">
        <f t="shared" si="5"/>
        <v>7.2765151515151514</v>
      </c>
      <c r="U23" s="124" t="e">
        <f t="shared" si="6"/>
        <v>#REF!</v>
      </c>
      <c r="V23" s="18" t="e">
        <f t="shared" si="7"/>
        <v>#REF!</v>
      </c>
      <c r="W23" s="78" t="e">
        <f>SUM(V23/E23)/T2</f>
        <v>#REF!</v>
      </c>
      <c r="X23">
        <f t="shared" si="9"/>
        <v>1584</v>
      </c>
      <c r="Y23" s="592">
        <v>106</v>
      </c>
      <c r="Z23" s="81" t="e">
        <f t="shared" si="8"/>
        <v>#REF!</v>
      </c>
    </row>
    <row r="24" spans="1:26">
      <c r="A24" s="54">
        <f>SUM([1]Gen!A30)</f>
        <v>43758</v>
      </c>
      <c r="B24" s="84">
        <v>0</v>
      </c>
      <c r="C24" s="89">
        <f>SUM([1]Gen!B30)</f>
        <v>0.57099999999999995</v>
      </c>
      <c r="D24" s="586">
        <f t="shared" si="2"/>
        <v>43.966999999999999</v>
      </c>
      <c r="E24" s="76"/>
      <c r="F24" s="72">
        <f>[1]Gen!T30</f>
        <v>5712</v>
      </c>
      <c r="G24" s="87">
        <f>[1]Gen!S30</f>
        <v>2197.0099999999998</v>
      </c>
      <c r="H24" s="87" t="e">
        <f>[1]Gen!#REF!</f>
        <v>#REF!</v>
      </c>
      <c r="I24" s="87" t="e">
        <f t="shared" si="0"/>
        <v>#REF!</v>
      </c>
      <c r="J24" s="87">
        <f>[1]Gen!AT30</f>
        <v>29403.300000000032</v>
      </c>
      <c r="K24" s="71">
        <f>'[1]Water-Meter'!E29</f>
        <v>99</v>
      </c>
      <c r="L24" s="69" t="e">
        <f>#REF!</f>
        <v>#REF!</v>
      </c>
      <c r="M24" s="90" t="e">
        <f>#REF!</f>
        <v>#REF!</v>
      </c>
      <c r="N24" s="90" t="e">
        <f>#REF!</f>
        <v>#REF!</v>
      </c>
      <c r="O24" s="90" t="e">
        <f>#REF!</f>
        <v>#REF!</v>
      </c>
      <c r="P24" s="91">
        <f t="shared" si="1"/>
        <v>0.56544807692307753</v>
      </c>
      <c r="Q24" s="6" t="e">
        <f>I24*Q2</f>
        <v>#REF!</v>
      </c>
      <c r="R24" s="78" t="e">
        <f t="shared" si="3"/>
        <v>#REF!</v>
      </c>
      <c r="S24" s="591" t="e">
        <f t="shared" si="4"/>
        <v>#REF!</v>
      </c>
      <c r="T24" s="78">
        <f t="shared" si="5"/>
        <v>6.375</v>
      </c>
      <c r="U24" s="124" t="e">
        <f t="shared" si="6"/>
        <v>#REF!</v>
      </c>
      <c r="V24" s="18" t="e">
        <f t="shared" si="7"/>
        <v>#REF!</v>
      </c>
      <c r="W24" s="78" t="e">
        <f>SUM(V24/E24)/T2</f>
        <v>#REF!</v>
      </c>
      <c r="X24">
        <f t="shared" si="9"/>
        <v>1584</v>
      </c>
      <c r="Y24" s="592">
        <v>106</v>
      </c>
      <c r="Z24" s="81" t="e">
        <f t="shared" si="8"/>
        <v>#REF!</v>
      </c>
    </row>
    <row r="25" spans="1:26">
      <c r="A25" s="54">
        <f>SUM([1]Gen!A31)</f>
        <v>43759</v>
      </c>
      <c r="B25" s="84">
        <v>0</v>
      </c>
      <c r="C25" s="89">
        <f>SUM([1]Gen!B31)</f>
        <v>0.55800000000000005</v>
      </c>
      <c r="D25" s="586">
        <f t="shared" si="2"/>
        <v>42.966000000000001</v>
      </c>
      <c r="E25" s="76"/>
      <c r="F25" s="72">
        <f>[1]Gen!T31</f>
        <v>5941</v>
      </c>
      <c r="G25" s="87">
        <f>[1]Gen!S31</f>
        <v>2262.16</v>
      </c>
      <c r="H25" s="87">
        <f>[1]Gen!AJ31</f>
        <v>172.05</v>
      </c>
      <c r="I25" s="87">
        <f t="shared" si="0"/>
        <v>2434.21</v>
      </c>
      <c r="J25" s="87">
        <f>[1]Gen!AT31</f>
        <v>41422.370000000032</v>
      </c>
      <c r="K25" s="71">
        <f>'[1]Water-Meter'!E30</f>
        <v>111</v>
      </c>
      <c r="L25" s="69" t="e">
        <f>#REF!</f>
        <v>#REF!</v>
      </c>
      <c r="M25" s="90" t="e">
        <f>#REF!</f>
        <v>#REF!</v>
      </c>
      <c r="N25" s="90" t="e">
        <f>#REF!</f>
        <v>#REF!</v>
      </c>
      <c r="O25" s="90" t="e">
        <f>#REF!</f>
        <v>#REF!</v>
      </c>
      <c r="P25" s="91">
        <f t="shared" si="1"/>
        <v>0.79658403846153902</v>
      </c>
      <c r="Q25" s="6">
        <f>I25*Q2</f>
        <v>5379238.9684999995</v>
      </c>
      <c r="R25" s="78">
        <f t="shared" si="3"/>
        <v>79.038872533755836</v>
      </c>
      <c r="S25" s="591" t="e">
        <f t="shared" si="4"/>
        <v>#DIV/0!</v>
      </c>
      <c r="T25" s="78">
        <f t="shared" si="5"/>
        <v>7.1477272727272725</v>
      </c>
      <c r="U25" s="124" t="e">
        <f t="shared" si="6"/>
        <v>#REF!</v>
      </c>
      <c r="V25" s="18" t="e">
        <f t="shared" si="7"/>
        <v>#REF!</v>
      </c>
      <c r="W25" s="78" t="e">
        <f>SUM(V25/E25)/T2</f>
        <v>#REF!</v>
      </c>
      <c r="X25">
        <f t="shared" si="9"/>
        <v>1584</v>
      </c>
      <c r="Y25" s="592">
        <v>106</v>
      </c>
      <c r="Z25" s="81" t="e">
        <f t="shared" si="8"/>
        <v>#DIV/0!</v>
      </c>
    </row>
    <row r="26" spans="1:26">
      <c r="A26" s="54">
        <f>SUM([1]Gen!A32)</f>
        <v>43760</v>
      </c>
      <c r="B26" s="84">
        <v>0</v>
      </c>
      <c r="C26" s="89">
        <f>SUM([1]Gen!B32)</f>
        <v>0.40300000000000002</v>
      </c>
      <c r="D26" s="586">
        <f t="shared" si="2"/>
        <v>31.031000000000002</v>
      </c>
      <c r="E26" s="76"/>
      <c r="F26" s="72">
        <f>[1]Gen!T32</f>
        <v>5400</v>
      </c>
      <c r="G26" s="87">
        <f>[1]Gen!S32</f>
        <v>2286.86</v>
      </c>
      <c r="H26" s="87">
        <f>[1]Gen!AJ32</f>
        <v>18.63</v>
      </c>
      <c r="I26" s="87">
        <f t="shared" si="0"/>
        <v>2305.4900000000002</v>
      </c>
      <c r="J26" s="87">
        <f>[1]Gen!AT32</f>
        <v>38988.160000000033</v>
      </c>
      <c r="K26" s="71">
        <f>'[1]Water-Meter'!E31</f>
        <v>130</v>
      </c>
      <c r="L26" s="69" t="e">
        <f>#REF!</f>
        <v>#REF!</v>
      </c>
      <c r="M26" s="90" t="e">
        <f>#REF!</f>
        <v>#REF!</v>
      </c>
      <c r="N26" s="90" t="e">
        <f>#REF!</f>
        <v>#REF!</v>
      </c>
      <c r="O26" s="90" t="e">
        <f>#REF!</f>
        <v>#REF!</v>
      </c>
      <c r="P26" s="91">
        <f t="shared" si="1"/>
        <v>0.74977230769230829</v>
      </c>
      <c r="Q26" s="6">
        <f>I26*Q2</f>
        <v>5094787.0765000004</v>
      </c>
      <c r="R26" s="78">
        <f t="shared" si="3"/>
        <v>103.65138031771097</v>
      </c>
      <c r="S26" s="591" t="e">
        <f t="shared" si="4"/>
        <v>#DIV/0!</v>
      </c>
      <c r="T26" s="78">
        <f t="shared" si="5"/>
        <v>8.3712121212121211</v>
      </c>
      <c r="U26" s="124" t="e">
        <f t="shared" si="6"/>
        <v>#REF!</v>
      </c>
      <c r="V26" s="18" t="e">
        <f t="shared" si="7"/>
        <v>#REF!</v>
      </c>
      <c r="W26" s="78" t="e">
        <f>SUM(V26/E26)/T2</f>
        <v>#REF!</v>
      </c>
      <c r="X26">
        <f t="shared" si="9"/>
        <v>1584</v>
      </c>
      <c r="Y26" s="592">
        <v>106</v>
      </c>
      <c r="Z26" s="81" t="e">
        <f t="shared" si="8"/>
        <v>#DIV/0!</v>
      </c>
    </row>
    <row r="27" spans="1:26">
      <c r="A27" s="54">
        <f>SUM([1]Gen!A33)</f>
        <v>43761</v>
      </c>
      <c r="B27" s="84">
        <v>0</v>
      </c>
      <c r="C27" s="89">
        <f>SUM([1]Gen!B33)</f>
        <v>0.24</v>
      </c>
      <c r="D27" s="586">
        <f t="shared" si="2"/>
        <v>18.48</v>
      </c>
      <c r="E27" s="76"/>
      <c r="F27" s="72">
        <f>[1]Gen!T33</f>
        <v>5371</v>
      </c>
      <c r="G27" s="87">
        <f>[1]Gen!S33</f>
        <v>2148.2999999999997</v>
      </c>
      <c r="H27" s="87">
        <f>[1]Gen!AJ33</f>
        <v>311.34000000000003</v>
      </c>
      <c r="I27" s="87">
        <f t="shared" si="0"/>
        <v>2459.64</v>
      </c>
      <c r="J27" s="87">
        <f>[1]Gen!AT33</f>
        <v>36682.670000000035</v>
      </c>
      <c r="K27" s="71">
        <f>'[1]Water-Meter'!E32</f>
        <v>114</v>
      </c>
      <c r="L27" s="69" t="e">
        <f>#REF!</f>
        <v>#REF!</v>
      </c>
      <c r="M27" s="90" t="e">
        <f>#REF!</f>
        <v>#REF!</v>
      </c>
      <c r="N27" s="90" t="e">
        <f>#REF!</f>
        <v>#REF!</v>
      </c>
      <c r="O27" s="90" t="e">
        <f>#REF!</f>
        <v>#REF!</v>
      </c>
      <c r="P27" s="91">
        <f t="shared" si="1"/>
        <v>0.70543596153846222</v>
      </c>
      <c r="Q27" s="6">
        <f>I27*Q2</f>
        <v>5435435.4539999999</v>
      </c>
      <c r="R27" s="78">
        <f t="shared" si="3"/>
        <v>185.6851610668372</v>
      </c>
      <c r="S27" s="591" t="e">
        <f t="shared" si="4"/>
        <v>#DIV/0!</v>
      </c>
      <c r="T27" s="78">
        <f t="shared" si="5"/>
        <v>7.3409090909090908</v>
      </c>
      <c r="U27" s="124" t="e">
        <f t="shared" si="6"/>
        <v>#REF!</v>
      </c>
      <c r="V27" s="18" t="e">
        <f t="shared" si="7"/>
        <v>#REF!</v>
      </c>
      <c r="W27" s="78" t="e">
        <f>SUM(V27/E27)/T2</f>
        <v>#REF!</v>
      </c>
      <c r="X27">
        <f t="shared" si="9"/>
        <v>1584</v>
      </c>
      <c r="Y27" s="592">
        <v>106</v>
      </c>
      <c r="Z27" s="81" t="e">
        <f t="shared" si="8"/>
        <v>#DIV/0!</v>
      </c>
    </row>
    <row r="28" spans="1:26">
      <c r="A28" s="54">
        <f>SUM([1]Gen!A34)</f>
        <v>43762</v>
      </c>
      <c r="B28" s="84">
        <v>0</v>
      </c>
      <c r="C28" s="89">
        <f>SUM([1]Gen!B34)</f>
        <v>0.09</v>
      </c>
      <c r="D28" s="586">
        <f t="shared" si="2"/>
        <v>6.93</v>
      </c>
      <c r="E28" s="76"/>
      <c r="F28" s="72">
        <f>[1]Gen!T34</f>
        <v>5296</v>
      </c>
      <c r="G28" s="87">
        <f>[1]Gen!S34</f>
        <v>2213.27</v>
      </c>
      <c r="H28" s="87">
        <f>[1]Gen!AJ34</f>
        <v>380.7</v>
      </c>
      <c r="I28" s="87">
        <f t="shared" si="0"/>
        <v>2593.9699999999998</v>
      </c>
      <c r="J28" s="87">
        <f>[1]Gen!AT34</f>
        <v>44223.030000000035</v>
      </c>
      <c r="K28" s="71">
        <f>'[1]Water-Meter'!E33</f>
        <v>-215493</v>
      </c>
      <c r="L28" s="69" t="e">
        <f>#REF!</f>
        <v>#REF!</v>
      </c>
      <c r="M28" s="90" t="e">
        <f>#REF!</f>
        <v>#REF!</v>
      </c>
      <c r="N28" s="90" t="e">
        <f>#REF!</f>
        <v>#REF!</v>
      </c>
      <c r="O28" s="90" t="e">
        <f>#REF!</f>
        <v>#REF!</v>
      </c>
      <c r="P28" s="91">
        <f t="shared" si="1"/>
        <v>0.85044288461538531</v>
      </c>
      <c r="Q28" s="6">
        <f>I28*Q2</f>
        <v>5732284.6044999994</v>
      </c>
      <c r="R28" s="78">
        <f t="shared" si="3"/>
        <v>522.20296439321055</v>
      </c>
      <c r="S28" s="591" t="e">
        <f t="shared" si="4"/>
        <v>#DIV/0!</v>
      </c>
      <c r="T28" s="78">
        <f t="shared" si="5"/>
        <v>-13876.443181818182</v>
      </c>
      <c r="U28" s="124" t="e">
        <f t="shared" si="6"/>
        <v>#REF!</v>
      </c>
      <c r="V28" s="18" t="e">
        <f t="shared" si="7"/>
        <v>#REF!</v>
      </c>
      <c r="W28" s="78" t="e">
        <f>SUM(V28/E28)/T2</f>
        <v>#REF!</v>
      </c>
      <c r="X28">
        <f t="shared" si="9"/>
        <v>1584</v>
      </c>
      <c r="Y28" s="592">
        <v>106</v>
      </c>
      <c r="Z28" s="81" t="e">
        <f t="shared" si="8"/>
        <v>#DIV/0!</v>
      </c>
    </row>
    <row r="29" spans="1:26">
      <c r="A29" s="54">
        <f>SUM([1]Gen!A35)</f>
        <v>43763</v>
      </c>
      <c r="B29" s="84">
        <v>0</v>
      </c>
      <c r="C29" s="89">
        <f>SUM([1]Gen!B35)</f>
        <v>0.28599999999999998</v>
      </c>
      <c r="D29" s="586">
        <f t="shared" si="2"/>
        <v>22.021999999999998</v>
      </c>
      <c r="E29" s="76"/>
      <c r="F29" s="72">
        <f>[1]Gen!T35</f>
        <v>5221</v>
      </c>
      <c r="G29" s="87">
        <f>[1]Gen!S35</f>
        <v>2104.5200000000004</v>
      </c>
      <c r="H29" s="87">
        <f>[1]Gen!AJ35</f>
        <v>273.37</v>
      </c>
      <c r="I29" s="87">
        <f t="shared" si="0"/>
        <v>2377.8900000000003</v>
      </c>
      <c r="J29" s="87">
        <f>[1]Gen!AT35</f>
        <v>41629.060000000034</v>
      </c>
      <c r="K29" s="71">
        <f>'[1]Water-Meter'!E34</f>
        <v>0</v>
      </c>
      <c r="L29" s="69" t="e">
        <f>#REF!</f>
        <v>#REF!</v>
      </c>
      <c r="M29" s="90" t="e">
        <f>#REF!</f>
        <v>#REF!</v>
      </c>
      <c r="N29" s="90" t="e">
        <f>#REF!</f>
        <v>#REF!</v>
      </c>
      <c r="O29" s="90" t="e">
        <f>#REF!</f>
        <v>#REF!</v>
      </c>
      <c r="P29" s="91">
        <f t="shared" si="1"/>
        <v>0.80055884615384676</v>
      </c>
      <c r="Q29" s="6">
        <f>I29*Q2</f>
        <v>5254780.2165000001</v>
      </c>
      <c r="R29" s="78">
        <f t="shared" si="3"/>
        <v>150.64080250844199</v>
      </c>
      <c r="S29" s="591" t="e">
        <f t="shared" si="4"/>
        <v>#DIV/0!</v>
      </c>
      <c r="T29" s="78">
        <f t="shared" si="5"/>
        <v>0</v>
      </c>
      <c r="U29" s="124" t="e">
        <f t="shared" si="6"/>
        <v>#REF!</v>
      </c>
      <c r="V29" s="18" t="e">
        <f t="shared" si="7"/>
        <v>#REF!</v>
      </c>
      <c r="W29" s="78" t="e">
        <f>SUM(V29/E29)/T2</f>
        <v>#REF!</v>
      </c>
      <c r="X29">
        <f t="shared" si="9"/>
        <v>1584</v>
      </c>
      <c r="Y29" s="592">
        <v>106</v>
      </c>
      <c r="Z29" s="81" t="e">
        <f t="shared" si="8"/>
        <v>#DIV/0!</v>
      </c>
    </row>
    <row r="30" spans="1:26">
      <c r="A30" s="54">
        <f>SUM([1]Gen!A36)</f>
        <v>43764</v>
      </c>
      <c r="B30" s="84">
        <v>0</v>
      </c>
      <c r="C30" s="89">
        <f>SUM([1]Gen!B36)</f>
        <v>0.54500000000000004</v>
      </c>
      <c r="D30" s="586">
        <f t="shared" si="2"/>
        <v>41.965000000000003</v>
      </c>
      <c r="E30" s="76"/>
      <c r="F30" s="72">
        <f>[1]Gen!T36</f>
        <v>5665</v>
      </c>
      <c r="G30" s="87">
        <f>[1]Gen!S36</f>
        <v>2470.2400000000002</v>
      </c>
      <c r="H30" s="87">
        <f>[1]Gen!AJ36</f>
        <v>396.56</v>
      </c>
      <c r="I30" s="87">
        <f t="shared" si="0"/>
        <v>2866.8</v>
      </c>
      <c r="J30" s="87">
        <f>[1]Gen!AT36</f>
        <v>39251.170000000035</v>
      </c>
      <c r="K30" s="71">
        <f>'[1]Water-Meter'!E35</f>
        <v>0</v>
      </c>
      <c r="L30" s="69" t="e">
        <f>#REF!</f>
        <v>#REF!</v>
      </c>
      <c r="M30" s="90" t="e">
        <f>#REF!</f>
        <v>#REF!</v>
      </c>
      <c r="N30" s="90" t="e">
        <f>#REF!</f>
        <v>#REF!</v>
      </c>
      <c r="O30" s="90" t="e">
        <f>#REF!</f>
        <v>#REF!</v>
      </c>
      <c r="P30" s="91">
        <f t="shared" si="1"/>
        <v>0.75483019230769299</v>
      </c>
      <c r="Q30" s="6">
        <f>I30*Q2</f>
        <v>6335197.9800000004</v>
      </c>
      <c r="R30" s="78">
        <f t="shared" si="3"/>
        <v>95.305461080481933</v>
      </c>
      <c r="S30" s="591" t="e">
        <f t="shared" si="4"/>
        <v>#DIV/0!</v>
      </c>
      <c r="T30" s="78">
        <f t="shared" si="5"/>
        <v>0</v>
      </c>
      <c r="U30" s="124" t="e">
        <f t="shared" si="6"/>
        <v>#REF!</v>
      </c>
      <c r="V30" s="18" t="e">
        <f t="shared" si="7"/>
        <v>#REF!</v>
      </c>
      <c r="W30" s="78" t="e">
        <f>SUM(V30/E30)/T2</f>
        <v>#REF!</v>
      </c>
      <c r="X30">
        <f t="shared" si="9"/>
        <v>1584</v>
      </c>
      <c r="Y30" s="592">
        <v>106</v>
      </c>
      <c r="Z30" s="81" t="e">
        <f t="shared" si="8"/>
        <v>#DIV/0!</v>
      </c>
    </row>
    <row r="31" spans="1:26">
      <c r="A31" s="54">
        <f>SUM([1]Gen!A37)</f>
        <v>43765</v>
      </c>
      <c r="B31" s="84">
        <v>0</v>
      </c>
      <c r="C31" s="89">
        <f>SUM([1]Gen!B37)</f>
        <v>0.67500000000000004</v>
      </c>
      <c r="D31" s="586">
        <f t="shared" si="2"/>
        <v>51.975000000000001</v>
      </c>
      <c r="E31" s="76"/>
      <c r="F31" s="72">
        <f>[1]Gen!T37</f>
        <v>6109</v>
      </c>
      <c r="G31" s="87">
        <f>[1]Gen!S37</f>
        <v>2323.7399999999998</v>
      </c>
      <c r="H31" s="87">
        <f>[1]Gen!AJ37</f>
        <v>280.63</v>
      </c>
      <c r="I31" s="87">
        <f t="shared" si="0"/>
        <v>2604.37</v>
      </c>
      <c r="J31" s="87">
        <f>[1]Gen!AT37</f>
        <v>36384.370000000032</v>
      </c>
      <c r="K31" s="71">
        <f>'[1]Water-Meter'!E36</f>
        <v>0</v>
      </c>
      <c r="L31" s="69" t="e">
        <f>#REF!</f>
        <v>#REF!</v>
      </c>
      <c r="M31" s="90" t="e">
        <f>#REF!</f>
        <v>#REF!</v>
      </c>
      <c r="N31" s="90" t="e">
        <f>#REF!</f>
        <v>#REF!</v>
      </c>
      <c r="O31" s="90" t="e">
        <f>#REF!</f>
        <v>#REF!</v>
      </c>
      <c r="P31" s="91">
        <f t="shared" si="1"/>
        <v>0.69969942307692368</v>
      </c>
      <c r="Q31" s="6">
        <f>I31*Q2</f>
        <v>5755267.0444999998</v>
      </c>
      <c r="R31" s="78">
        <f t="shared" si="3"/>
        <v>69.906217593199912</v>
      </c>
      <c r="S31" s="591" t="e">
        <f t="shared" si="4"/>
        <v>#DIV/0!</v>
      </c>
      <c r="T31" s="78">
        <f t="shared" si="5"/>
        <v>0</v>
      </c>
      <c r="U31" s="124" t="e">
        <f t="shared" si="6"/>
        <v>#REF!</v>
      </c>
      <c r="V31" s="18" t="e">
        <f t="shared" si="7"/>
        <v>#REF!</v>
      </c>
      <c r="W31" s="78" t="e">
        <f>SUM(V31/E31)/T2</f>
        <v>#REF!</v>
      </c>
      <c r="X31">
        <f t="shared" si="9"/>
        <v>1584</v>
      </c>
      <c r="Y31" s="592">
        <v>106</v>
      </c>
      <c r="Z31" s="81" t="e">
        <f t="shared" si="8"/>
        <v>#DIV/0!</v>
      </c>
    </row>
    <row r="32" spans="1:26">
      <c r="A32" s="54">
        <f>SUM([1]Gen!A38)</f>
        <v>43766</v>
      </c>
      <c r="B32" s="84">
        <v>0</v>
      </c>
      <c r="C32" s="89">
        <f>SUM([1]Gen!B38)</f>
        <v>0.27300000000000002</v>
      </c>
      <c r="D32" s="586">
        <f t="shared" si="2"/>
        <v>21.021000000000001</v>
      </c>
      <c r="E32" s="76"/>
      <c r="F32" s="72">
        <f>[1]Gen!T38</f>
        <v>0</v>
      </c>
      <c r="G32" s="87">
        <f>[1]Gen!S38</f>
        <v>0</v>
      </c>
      <c r="H32" s="87">
        <f>[1]Gen!AJ38</f>
        <v>0</v>
      </c>
      <c r="I32" s="87">
        <f t="shared" si="0"/>
        <v>0</v>
      </c>
      <c r="J32" s="87">
        <f>[1]Gen!AT38</f>
        <v>33780.000000000029</v>
      </c>
      <c r="K32" s="71">
        <f>'[1]Water-Meter'!E37</f>
        <v>0</v>
      </c>
      <c r="L32" s="69" t="e">
        <f>#REF!</f>
        <v>#REF!</v>
      </c>
      <c r="M32" s="90" t="e">
        <f>#REF!</f>
        <v>#REF!</v>
      </c>
      <c r="N32" s="90" t="e">
        <f>#REF!</f>
        <v>#REF!</v>
      </c>
      <c r="O32" s="90" t="e">
        <f>#REF!</f>
        <v>#REF!</v>
      </c>
      <c r="P32" s="91">
        <f t="shared" si="1"/>
        <v>0.64961538461538515</v>
      </c>
      <c r="Q32" s="6">
        <f>I32*Q2</f>
        <v>0</v>
      </c>
      <c r="R32" s="78">
        <f t="shared" si="3"/>
        <v>0</v>
      </c>
      <c r="S32" s="591" t="e">
        <f t="shared" si="4"/>
        <v>#DIV/0!</v>
      </c>
      <c r="T32" s="78">
        <f t="shared" si="5"/>
        <v>0</v>
      </c>
      <c r="U32" s="124" t="e">
        <f t="shared" si="6"/>
        <v>#REF!</v>
      </c>
      <c r="V32" s="18" t="e">
        <f t="shared" si="7"/>
        <v>#REF!</v>
      </c>
      <c r="W32" s="78" t="e">
        <f>SUM(V32/E32)/T2</f>
        <v>#REF!</v>
      </c>
      <c r="X32">
        <f t="shared" si="9"/>
        <v>1584</v>
      </c>
      <c r="Y32" s="592">
        <v>106</v>
      </c>
      <c r="Z32" s="81" t="e">
        <f t="shared" si="8"/>
        <v>#DIV/0!</v>
      </c>
    </row>
    <row r="33" spans="1:26">
      <c r="A33" s="54"/>
      <c r="B33" s="84">
        <v>0</v>
      </c>
      <c r="C33" s="89" t="e">
        <f>SUM([1]Gen!B39)</f>
        <v>#REF!</v>
      </c>
      <c r="D33" s="586" t="e">
        <f t="shared" si="2"/>
        <v>#REF!</v>
      </c>
      <c r="E33" s="76"/>
      <c r="F33" s="72">
        <f>[1]Gen!T39</f>
        <v>0</v>
      </c>
      <c r="G33" s="87">
        <f>[1]Gen!S39</f>
        <v>0</v>
      </c>
      <c r="H33" s="87">
        <f>[1]Gen!AJ39</f>
        <v>0</v>
      </c>
      <c r="I33" s="87">
        <f t="shared" si="0"/>
        <v>0</v>
      </c>
      <c r="J33" s="87">
        <f>[1]Gen!AT39</f>
        <v>33780.000000000029</v>
      </c>
      <c r="K33" s="71">
        <f>'[1]Water-Meter'!E38</f>
        <v>-212333</v>
      </c>
      <c r="L33" s="69" t="e">
        <f>#REF!</f>
        <v>#REF!</v>
      </c>
      <c r="M33" s="90" t="e">
        <f>#REF!</f>
        <v>#REF!</v>
      </c>
      <c r="N33" s="90" t="e">
        <f>#REF!</f>
        <v>#REF!</v>
      </c>
      <c r="O33" s="90" t="e">
        <f>#REF!</f>
        <v>#REF!</v>
      </c>
      <c r="P33" s="91">
        <f t="shared" si="1"/>
        <v>0.64961538461538515</v>
      </c>
      <c r="Q33" s="6">
        <f>I33*Q2</f>
        <v>0</v>
      </c>
      <c r="R33" s="78" t="e">
        <f t="shared" si="3"/>
        <v>#REF!</v>
      </c>
      <c r="S33" s="591" t="e">
        <f t="shared" si="4"/>
        <v>#DIV/0!</v>
      </c>
      <c r="T33" s="78">
        <f t="shared" si="5"/>
        <v>-13672.958333333334</v>
      </c>
      <c r="U33" s="124" t="e">
        <f t="shared" si="6"/>
        <v>#REF!</v>
      </c>
      <c r="V33" s="18" t="e">
        <f t="shared" si="7"/>
        <v>#REF!</v>
      </c>
      <c r="W33" s="78" t="e">
        <f>SUM(V33/E33)/T2</f>
        <v>#REF!</v>
      </c>
      <c r="X33">
        <f t="shared" si="9"/>
        <v>1584</v>
      </c>
      <c r="Y33" s="592">
        <v>106</v>
      </c>
      <c r="Z33" s="81" t="e">
        <f t="shared" si="8"/>
        <v>#DIV/0!</v>
      </c>
    </row>
    <row r="34" spans="1:26">
      <c r="A34" s="54"/>
      <c r="B34" s="84">
        <v>0</v>
      </c>
      <c r="C34" s="89" t="e">
        <f>SUM([1]Gen!B40)</f>
        <v>#REF!</v>
      </c>
      <c r="D34" s="586" t="e">
        <f t="shared" si="2"/>
        <v>#REF!</v>
      </c>
      <c r="E34" s="76"/>
      <c r="F34" s="72">
        <f>[1]Gen!T40</f>
        <v>0</v>
      </c>
      <c r="G34" s="87">
        <f>[1]Gen!S40</f>
        <v>0</v>
      </c>
      <c r="H34" s="87">
        <f>[1]Gen!AJ40</f>
        <v>0</v>
      </c>
      <c r="I34" s="87">
        <f t="shared" si="0"/>
        <v>0</v>
      </c>
      <c r="J34" s="87">
        <f>[1]Gen!AT40</f>
        <v>33780.000000000029</v>
      </c>
      <c r="K34" s="71" t="e">
        <f>'[1]Water-Meter'!E39</f>
        <v>#REF!</v>
      </c>
      <c r="L34" s="69" t="e">
        <f>#REF!</f>
        <v>#REF!</v>
      </c>
      <c r="M34" s="90" t="e">
        <f>#REF!</f>
        <v>#REF!</v>
      </c>
      <c r="N34" s="90" t="e">
        <f>#REF!</f>
        <v>#REF!</v>
      </c>
      <c r="O34" s="90" t="e">
        <f>#REF!</f>
        <v>#REF!</v>
      </c>
      <c r="P34" s="91">
        <f t="shared" si="1"/>
        <v>0.64961538461538515</v>
      </c>
      <c r="Q34" s="6">
        <f>I34*Q2</f>
        <v>0</v>
      </c>
      <c r="R34" s="78" t="e">
        <f t="shared" si="3"/>
        <v>#REF!</v>
      </c>
      <c r="S34" s="591" t="e">
        <f t="shared" si="4"/>
        <v>#DIV/0!</v>
      </c>
      <c r="T34" s="78" t="e">
        <f t="shared" si="5"/>
        <v>#REF!</v>
      </c>
      <c r="U34" s="124" t="e">
        <f t="shared" si="6"/>
        <v>#REF!</v>
      </c>
      <c r="V34" s="18" t="e">
        <f t="shared" si="7"/>
        <v>#REF!</v>
      </c>
      <c r="W34" s="78" t="e">
        <f>SUM(V34/E34)/T2</f>
        <v>#REF!</v>
      </c>
      <c r="X34">
        <f t="shared" si="9"/>
        <v>1584</v>
      </c>
      <c r="Y34" s="592">
        <v>106</v>
      </c>
      <c r="Z34" s="81" t="e">
        <f t="shared" si="8"/>
        <v>#DIV/0!</v>
      </c>
    </row>
    <row r="35" spans="1:26">
      <c r="A35" s="54"/>
      <c r="B35" s="84">
        <v>0</v>
      </c>
      <c r="C35" s="89" t="e">
        <f>SUM([1]Gen!B41)</f>
        <v>#REF!</v>
      </c>
      <c r="D35" s="586" t="e">
        <f t="shared" si="2"/>
        <v>#REF!</v>
      </c>
      <c r="E35" s="76"/>
      <c r="F35" s="72">
        <f>[1]Gen!T41</f>
        <v>0</v>
      </c>
      <c r="G35" s="87">
        <f>[1]Gen!S41</f>
        <v>0</v>
      </c>
      <c r="H35" s="87">
        <f>[1]Gen!AJ41</f>
        <v>0</v>
      </c>
      <c r="I35" s="87">
        <f t="shared" si="0"/>
        <v>0</v>
      </c>
      <c r="J35" s="87">
        <f>[1]Gen!AT41</f>
        <v>33780.000000000029</v>
      </c>
      <c r="K35" s="71" t="e">
        <f>'[1]Water-Meter'!E40</f>
        <v>#REF!</v>
      </c>
      <c r="L35" s="69" t="e">
        <f>#REF!</f>
        <v>#REF!</v>
      </c>
      <c r="M35" s="90" t="e">
        <f>#REF!</f>
        <v>#REF!</v>
      </c>
      <c r="N35" s="90" t="e">
        <f>#REF!</f>
        <v>#REF!</v>
      </c>
      <c r="O35" s="90" t="e">
        <f>#REF!</f>
        <v>#REF!</v>
      </c>
      <c r="P35" s="91">
        <f t="shared" si="1"/>
        <v>0.64961538461538515</v>
      </c>
      <c r="Q35" s="6">
        <f>I35*Q2</f>
        <v>0</v>
      </c>
      <c r="R35" s="78" t="e">
        <f t="shared" si="3"/>
        <v>#REF!</v>
      </c>
      <c r="S35" s="591" t="e">
        <f t="shared" si="4"/>
        <v>#DIV/0!</v>
      </c>
      <c r="T35" s="78" t="e">
        <f t="shared" si="5"/>
        <v>#REF!</v>
      </c>
      <c r="U35" s="124" t="e">
        <f t="shared" si="6"/>
        <v>#REF!</v>
      </c>
      <c r="V35" s="18" t="e">
        <f t="shared" si="7"/>
        <v>#REF!</v>
      </c>
      <c r="W35" s="78" t="e">
        <f>SUM(V35/E35)/T2</f>
        <v>#REF!</v>
      </c>
      <c r="X35">
        <f t="shared" si="9"/>
        <v>1584</v>
      </c>
      <c r="Y35" s="592">
        <v>106</v>
      </c>
      <c r="Z35" s="81" t="e">
        <f t="shared" si="8"/>
        <v>#DIV/0!</v>
      </c>
    </row>
    <row r="36" spans="1:26" ht="13.5" thickBot="1">
      <c r="A36" s="55"/>
      <c r="B36" s="83"/>
      <c r="C36" s="73"/>
      <c r="D36" s="86"/>
      <c r="E36" s="8"/>
      <c r="F36" s="73"/>
      <c r="G36" s="88"/>
      <c r="H36" s="88"/>
      <c r="I36" s="88"/>
      <c r="J36" s="88"/>
      <c r="K36" s="8" t="e">
        <f>'[1]Water-Meter'!E41</f>
        <v>#REF!</v>
      </c>
      <c r="L36" s="70"/>
      <c r="M36" s="88"/>
      <c r="N36" s="88"/>
      <c r="O36" s="88"/>
      <c r="P36" s="88"/>
      <c r="Q36" s="6">
        <f>I36*2057.79</f>
        <v>0</v>
      </c>
      <c r="R36" s="77"/>
      <c r="S36" s="77"/>
      <c r="T36" s="123"/>
      <c r="U36" s="125"/>
      <c r="V36" s="18">
        <f t="shared" si="7"/>
        <v>0</v>
      </c>
      <c r="W36" s="123"/>
    </row>
    <row r="37" spans="1:26">
      <c r="S37" s="81" t="e">
        <f>SUM(S5:S16)/[1]Gen!A47</f>
        <v>#REF!</v>
      </c>
    </row>
    <row r="38" spans="1:26">
      <c r="B38" s="85" t="e">
        <f>SUM(B5:B37)/[1]Gen!A47</f>
        <v>#REF!</v>
      </c>
      <c r="M38">
        <f>0.5*2057.79</f>
        <v>1028.895</v>
      </c>
    </row>
    <row r="39" spans="1:26">
      <c r="B39" s="85" t="e">
        <f>SUM(B38*[1]Gen!A47)</f>
        <v>#REF!</v>
      </c>
      <c r="C39" s="85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78</v>
      </c>
      <c r="S39" s="81" t="e">
        <f>SUM(S37-Y35)</f>
        <v>#REF!</v>
      </c>
    </row>
    <row r="40" spans="1:26">
      <c r="P40">
        <f>P39/K5</f>
        <v>953.17894736842118</v>
      </c>
    </row>
  </sheetData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108"/>
  <sheetViews>
    <sheetView topLeftCell="A39" workbookViewId="0">
      <selection activeCell="O69" sqref="O69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885" t="s">
        <v>181</v>
      </c>
      <c r="B1" s="886"/>
      <c r="C1" s="886"/>
      <c r="D1" s="886"/>
      <c r="E1" s="886"/>
      <c r="F1" s="886"/>
      <c r="G1" s="887"/>
    </row>
    <row r="2" spans="1:7" ht="13.5" thickBot="1">
      <c r="A2" s="392"/>
      <c r="B2" s="888" t="s">
        <v>176</v>
      </c>
      <c r="C2" s="889"/>
      <c r="D2" s="890"/>
      <c r="E2" s="888" t="s">
        <v>177</v>
      </c>
      <c r="F2" s="889"/>
      <c r="G2" s="890"/>
    </row>
    <row r="3" spans="1:7" ht="40.5" customHeight="1" thickBot="1">
      <c r="A3" s="423" t="s">
        <v>7</v>
      </c>
      <c r="B3" s="424" t="s">
        <v>178</v>
      </c>
      <c r="C3" s="424" t="s">
        <v>179</v>
      </c>
      <c r="D3" s="424" t="s">
        <v>180</v>
      </c>
      <c r="E3" s="424" t="s">
        <v>178</v>
      </c>
      <c r="F3" s="424" t="s">
        <v>179</v>
      </c>
      <c r="G3" s="425" t="s">
        <v>180</v>
      </c>
    </row>
    <row r="4" spans="1:7">
      <c r="A4" s="649">
        <v>42095</v>
      </c>
      <c r="B4" s="650">
        <v>0</v>
      </c>
      <c r="C4" s="454">
        <v>193</v>
      </c>
      <c r="D4" s="651">
        <f>C4-B4</f>
        <v>193</v>
      </c>
      <c r="E4" s="652">
        <v>0</v>
      </c>
      <c r="F4" s="653">
        <v>0</v>
      </c>
      <c r="G4" s="455">
        <f>F4-E4</f>
        <v>0</v>
      </c>
    </row>
    <row r="5" spans="1:7" ht="12" customHeight="1">
      <c r="A5" s="321">
        <v>42125</v>
      </c>
      <c r="B5" s="654">
        <f>C4</f>
        <v>193</v>
      </c>
      <c r="C5" s="323">
        <v>1158</v>
      </c>
      <c r="D5" s="426">
        <f t="shared" ref="D5:D68" si="0">C5-B5</f>
        <v>965</v>
      </c>
      <c r="E5" s="427">
        <v>145572</v>
      </c>
      <c r="F5" s="393">
        <v>145572</v>
      </c>
      <c r="G5" s="346">
        <f t="shared" ref="G5:G68" si="1">F5-E5</f>
        <v>0</v>
      </c>
    </row>
    <row r="6" spans="1:7">
      <c r="A6" s="321">
        <v>42156</v>
      </c>
      <c r="B6" s="654">
        <f t="shared" ref="B6:B69" si="2">C5</f>
        <v>1158</v>
      </c>
      <c r="C6" s="323">
        <v>2084</v>
      </c>
      <c r="D6" s="426">
        <f t="shared" si="0"/>
        <v>926</v>
      </c>
      <c r="E6" s="427">
        <f>F5</f>
        <v>145572</v>
      </c>
      <c r="F6" s="393">
        <v>147984</v>
      </c>
      <c r="G6" s="346">
        <f t="shared" si="1"/>
        <v>2412</v>
      </c>
    </row>
    <row r="7" spans="1:7">
      <c r="A7" s="321">
        <v>42186</v>
      </c>
      <c r="B7" s="654">
        <f t="shared" si="2"/>
        <v>2084</v>
      </c>
      <c r="C7" s="323">
        <v>3073</v>
      </c>
      <c r="D7" s="426">
        <f t="shared" si="0"/>
        <v>989</v>
      </c>
      <c r="E7" s="427">
        <f>F6</f>
        <v>147984</v>
      </c>
      <c r="F7" s="357">
        <v>150507</v>
      </c>
      <c r="G7" s="346">
        <f t="shared" si="1"/>
        <v>2523</v>
      </c>
    </row>
    <row r="8" spans="1:7">
      <c r="A8" s="321">
        <v>42217</v>
      </c>
      <c r="B8" s="654">
        <f t="shared" si="2"/>
        <v>3073</v>
      </c>
      <c r="C8" s="323">
        <v>4063</v>
      </c>
      <c r="D8" s="426">
        <f t="shared" si="0"/>
        <v>990</v>
      </c>
      <c r="E8" s="427">
        <f t="shared" ref="E8:E71" si="3">F7</f>
        <v>150507</v>
      </c>
      <c r="F8" s="357">
        <v>152986</v>
      </c>
      <c r="G8" s="346">
        <f t="shared" si="1"/>
        <v>2479</v>
      </c>
    </row>
    <row r="9" spans="1:7">
      <c r="A9" s="321">
        <v>42248</v>
      </c>
      <c r="B9" s="654">
        <f t="shared" si="2"/>
        <v>4063</v>
      </c>
      <c r="C9" s="323">
        <v>5058</v>
      </c>
      <c r="D9" s="426">
        <f t="shared" si="0"/>
        <v>995</v>
      </c>
      <c r="E9" s="427">
        <f t="shared" si="3"/>
        <v>152986</v>
      </c>
      <c r="F9" s="357">
        <v>155468</v>
      </c>
      <c r="G9" s="346">
        <f t="shared" si="1"/>
        <v>2482</v>
      </c>
    </row>
    <row r="10" spans="1:7">
      <c r="A10" s="321">
        <v>42278</v>
      </c>
      <c r="B10" s="654">
        <f t="shared" si="2"/>
        <v>5058</v>
      </c>
      <c r="C10" s="323">
        <v>6049</v>
      </c>
      <c r="D10" s="426">
        <f t="shared" si="0"/>
        <v>991</v>
      </c>
      <c r="E10" s="427">
        <f t="shared" si="3"/>
        <v>155468</v>
      </c>
      <c r="F10" s="357">
        <v>157962</v>
      </c>
      <c r="G10" s="346">
        <f t="shared" si="1"/>
        <v>2494</v>
      </c>
    </row>
    <row r="11" spans="1:7">
      <c r="A11" s="321">
        <v>42309</v>
      </c>
      <c r="B11" s="654">
        <f t="shared" si="2"/>
        <v>6049</v>
      </c>
      <c r="C11" s="323">
        <v>7028</v>
      </c>
      <c r="D11" s="426">
        <f t="shared" si="0"/>
        <v>979</v>
      </c>
      <c r="E11" s="427">
        <f t="shared" si="3"/>
        <v>157962</v>
      </c>
      <c r="F11" s="357">
        <v>160323</v>
      </c>
      <c r="G11" s="346">
        <f t="shared" si="1"/>
        <v>2361</v>
      </c>
    </row>
    <row r="12" spans="1:7">
      <c r="A12" s="321">
        <v>42339</v>
      </c>
      <c r="B12" s="654">
        <f t="shared" si="2"/>
        <v>7028</v>
      </c>
      <c r="C12" s="323">
        <v>7985</v>
      </c>
      <c r="D12" s="426">
        <f t="shared" si="0"/>
        <v>957</v>
      </c>
      <c r="E12" s="427">
        <f t="shared" si="3"/>
        <v>160323</v>
      </c>
      <c r="F12" s="357">
        <v>162813</v>
      </c>
      <c r="G12" s="346">
        <f t="shared" si="1"/>
        <v>2490</v>
      </c>
    </row>
    <row r="13" spans="1:7">
      <c r="A13" s="321">
        <v>42370</v>
      </c>
      <c r="B13" s="654">
        <f t="shared" si="2"/>
        <v>7985</v>
      </c>
      <c r="C13" s="323">
        <v>8952</v>
      </c>
      <c r="D13" s="426">
        <f t="shared" si="0"/>
        <v>967</v>
      </c>
      <c r="E13" s="427">
        <f t="shared" si="3"/>
        <v>162813</v>
      </c>
      <c r="F13" s="357">
        <v>165317</v>
      </c>
      <c r="G13" s="346">
        <f t="shared" si="1"/>
        <v>2504</v>
      </c>
    </row>
    <row r="14" spans="1:7">
      <c r="A14" s="321">
        <v>42401</v>
      </c>
      <c r="B14" s="654">
        <f t="shared" si="2"/>
        <v>8952</v>
      </c>
      <c r="C14" s="323">
        <v>9898</v>
      </c>
      <c r="D14" s="426">
        <f t="shared" si="0"/>
        <v>946</v>
      </c>
      <c r="E14" s="427">
        <f t="shared" si="3"/>
        <v>165317</v>
      </c>
      <c r="F14" s="357">
        <v>167679</v>
      </c>
      <c r="G14" s="346">
        <f t="shared" si="1"/>
        <v>2362</v>
      </c>
    </row>
    <row r="15" spans="1:7">
      <c r="A15" s="321">
        <v>42430</v>
      </c>
      <c r="B15" s="654">
        <f t="shared" si="2"/>
        <v>9898</v>
      </c>
      <c r="C15" s="323">
        <v>10637</v>
      </c>
      <c r="D15" s="426">
        <f t="shared" si="0"/>
        <v>739</v>
      </c>
      <c r="E15" s="427">
        <f t="shared" si="3"/>
        <v>167679</v>
      </c>
      <c r="F15" s="357">
        <v>170134</v>
      </c>
      <c r="G15" s="346">
        <f t="shared" si="1"/>
        <v>2455</v>
      </c>
    </row>
    <row r="16" spans="1:7">
      <c r="A16" s="321">
        <v>42461</v>
      </c>
      <c r="B16" s="654">
        <f t="shared" si="2"/>
        <v>10637</v>
      </c>
      <c r="C16" s="323">
        <v>11352</v>
      </c>
      <c r="D16" s="426">
        <f t="shared" si="0"/>
        <v>715</v>
      </c>
      <c r="E16" s="427">
        <f t="shared" si="3"/>
        <v>170134</v>
      </c>
      <c r="F16" s="357">
        <v>172562</v>
      </c>
      <c r="G16" s="346">
        <f t="shared" si="1"/>
        <v>2428</v>
      </c>
    </row>
    <row r="17" spans="1:7">
      <c r="A17" s="321">
        <v>42491</v>
      </c>
      <c r="B17" s="654">
        <f t="shared" si="2"/>
        <v>11352</v>
      </c>
      <c r="C17" s="323">
        <v>12426</v>
      </c>
      <c r="D17" s="426">
        <f t="shared" si="0"/>
        <v>1074</v>
      </c>
      <c r="E17" s="427">
        <f t="shared" si="3"/>
        <v>172562</v>
      </c>
      <c r="F17" s="357">
        <v>175041</v>
      </c>
      <c r="G17" s="346">
        <f t="shared" si="1"/>
        <v>2479</v>
      </c>
    </row>
    <row r="18" spans="1:7">
      <c r="A18" s="321">
        <v>42522</v>
      </c>
      <c r="B18" s="654">
        <f t="shared" si="2"/>
        <v>12426</v>
      </c>
      <c r="C18" s="323">
        <v>14111</v>
      </c>
      <c r="D18" s="426">
        <f t="shared" si="0"/>
        <v>1685</v>
      </c>
      <c r="E18" s="427">
        <f t="shared" si="3"/>
        <v>175041</v>
      </c>
      <c r="F18" s="357">
        <v>177300</v>
      </c>
      <c r="G18" s="346">
        <f t="shared" si="1"/>
        <v>2259</v>
      </c>
    </row>
    <row r="19" spans="1:7">
      <c r="A19" s="321">
        <v>42552</v>
      </c>
      <c r="B19" s="654">
        <f t="shared" si="2"/>
        <v>14111</v>
      </c>
      <c r="C19" s="323">
        <v>15790</v>
      </c>
      <c r="D19" s="426">
        <f t="shared" si="0"/>
        <v>1679</v>
      </c>
      <c r="E19" s="427">
        <f t="shared" si="3"/>
        <v>177300</v>
      </c>
      <c r="F19" s="357">
        <v>179548</v>
      </c>
      <c r="G19" s="346">
        <f t="shared" si="1"/>
        <v>2248</v>
      </c>
    </row>
    <row r="20" spans="1:7">
      <c r="A20" s="321">
        <v>42583</v>
      </c>
      <c r="B20" s="654">
        <f t="shared" si="2"/>
        <v>15790</v>
      </c>
      <c r="C20" s="323">
        <v>17450</v>
      </c>
      <c r="D20" s="426">
        <f t="shared" si="0"/>
        <v>1660</v>
      </c>
      <c r="E20" s="427">
        <f t="shared" si="3"/>
        <v>179548</v>
      </c>
      <c r="F20" s="357">
        <v>181842</v>
      </c>
      <c r="G20" s="346">
        <f t="shared" si="1"/>
        <v>2294</v>
      </c>
    </row>
    <row r="21" spans="1:7">
      <c r="A21" s="321">
        <v>42614</v>
      </c>
      <c r="B21" s="654">
        <f t="shared" si="2"/>
        <v>17450</v>
      </c>
      <c r="C21" s="323">
        <v>19133</v>
      </c>
      <c r="D21" s="426">
        <f t="shared" si="0"/>
        <v>1683</v>
      </c>
      <c r="E21" s="427">
        <f t="shared" si="3"/>
        <v>181842</v>
      </c>
      <c r="F21" s="357">
        <v>184095</v>
      </c>
      <c r="G21" s="346">
        <f t="shared" si="1"/>
        <v>2253</v>
      </c>
    </row>
    <row r="22" spans="1:7">
      <c r="A22" s="321">
        <v>42644</v>
      </c>
      <c r="B22" s="654">
        <f t="shared" si="2"/>
        <v>19133</v>
      </c>
      <c r="C22" s="323">
        <v>20804</v>
      </c>
      <c r="D22" s="426">
        <f t="shared" si="0"/>
        <v>1671</v>
      </c>
      <c r="E22" s="427">
        <f t="shared" si="3"/>
        <v>184095</v>
      </c>
      <c r="F22" s="357">
        <v>186344</v>
      </c>
      <c r="G22" s="346">
        <f t="shared" si="1"/>
        <v>2249</v>
      </c>
    </row>
    <row r="23" spans="1:7">
      <c r="A23" s="321">
        <v>42675</v>
      </c>
      <c r="B23" s="654">
        <f t="shared" si="2"/>
        <v>20804</v>
      </c>
      <c r="C23" s="323">
        <v>22489</v>
      </c>
      <c r="D23" s="426">
        <f t="shared" si="0"/>
        <v>1685</v>
      </c>
      <c r="E23" s="427">
        <f t="shared" si="3"/>
        <v>186344</v>
      </c>
      <c r="F23" s="357">
        <v>188595</v>
      </c>
      <c r="G23" s="346">
        <f t="shared" si="1"/>
        <v>2251</v>
      </c>
    </row>
    <row r="24" spans="1:7">
      <c r="A24" s="321">
        <v>42705</v>
      </c>
      <c r="B24" s="654">
        <f t="shared" si="2"/>
        <v>22489</v>
      </c>
      <c r="C24" s="323">
        <v>24085</v>
      </c>
      <c r="D24" s="426">
        <f t="shared" si="0"/>
        <v>1596</v>
      </c>
      <c r="E24" s="427">
        <f t="shared" si="3"/>
        <v>188595</v>
      </c>
      <c r="F24" s="357">
        <v>190896</v>
      </c>
      <c r="G24" s="346">
        <f t="shared" si="1"/>
        <v>2301</v>
      </c>
    </row>
    <row r="25" spans="1:7">
      <c r="A25" s="321">
        <v>42736</v>
      </c>
      <c r="B25" s="654">
        <f t="shared" si="2"/>
        <v>24085</v>
      </c>
      <c r="C25" s="323">
        <v>25775</v>
      </c>
      <c r="D25" s="426">
        <f t="shared" si="0"/>
        <v>1690</v>
      </c>
      <c r="E25" s="427">
        <f t="shared" si="3"/>
        <v>190896</v>
      </c>
      <c r="F25" s="357">
        <v>193152</v>
      </c>
      <c r="G25" s="346">
        <f t="shared" si="1"/>
        <v>2256</v>
      </c>
    </row>
    <row r="26" spans="1:7">
      <c r="A26" s="321">
        <v>42767</v>
      </c>
      <c r="B26" s="654">
        <f t="shared" si="2"/>
        <v>25775</v>
      </c>
      <c r="C26" s="323">
        <v>27592</v>
      </c>
      <c r="D26" s="426">
        <f t="shared" si="0"/>
        <v>1817</v>
      </c>
      <c r="E26" s="427">
        <f t="shared" si="3"/>
        <v>193152</v>
      </c>
      <c r="F26" s="357">
        <v>195378</v>
      </c>
      <c r="G26" s="346">
        <f t="shared" si="1"/>
        <v>2226</v>
      </c>
    </row>
    <row r="27" spans="1:7">
      <c r="A27" s="321">
        <v>42795</v>
      </c>
      <c r="B27" s="654">
        <f t="shared" si="2"/>
        <v>27592</v>
      </c>
      <c r="C27" s="357">
        <v>29398</v>
      </c>
      <c r="D27" s="426">
        <f t="shared" si="0"/>
        <v>1806</v>
      </c>
      <c r="E27" s="427">
        <f t="shared" si="3"/>
        <v>195378</v>
      </c>
      <c r="F27" s="357">
        <v>197503</v>
      </c>
      <c r="G27" s="346">
        <f t="shared" si="1"/>
        <v>2125</v>
      </c>
    </row>
    <row r="28" spans="1:7">
      <c r="A28" s="321">
        <v>42826</v>
      </c>
      <c r="B28" s="654">
        <f t="shared" si="2"/>
        <v>29398</v>
      </c>
      <c r="C28" s="323">
        <v>31148</v>
      </c>
      <c r="D28" s="426">
        <f t="shared" si="0"/>
        <v>1750</v>
      </c>
      <c r="E28" s="427">
        <f t="shared" si="3"/>
        <v>197503</v>
      </c>
      <c r="F28" s="357">
        <v>199571</v>
      </c>
      <c r="G28" s="346">
        <f t="shared" si="1"/>
        <v>2068</v>
      </c>
    </row>
    <row r="29" spans="1:7">
      <c r="A29" s="321">
        <v>42856</v>
      </c>
      <c r="B29" s="654">
        <f t="shared" si="2"/>
        <v>31148</v>
      </c>
      <c r="C29" s="323">
        <v>32896</v>
      </c>
      <c r="D29" s="426">
        <f t="shared" si="0"/>
        <v>1748</v>
      </c>
      <c r="E29" s="427">
        <f t="shared" si="3"/>
        <v>199571</v>
      </c>
      <c r="F29" s="357">
        <v>201766</v>
      </c>
      <c r="G29" s="346">
        <f t="shared" si="1"/>
        <v>2195</v>
      </c>
    </row>
    <row r="30" spans="1:7">
      <c r="A30" s="321">
        <v>42887</v>
      </c>
      <c r="B30" s="654">
        <f t="shared" si="2"/>
        <v>32896</v>
      </c>
      <c r="C30" s="323">
        <v>34620</v>
      </c>
      <c r="D30" s="426">
        <f t="shared" si="0"/>
        <v>1724</v>
      </c>
      <c r="E30" s="427">
        <f t="shared" si="3"/>
        <v>201766</v>
      </c>
      <c r="F30" s="357">
        <v>203951</v>
      </c>
      <c r="G30" s="346">
        <f t="shared" si="1"/>
        <v>2185</v>
      </c>
    </row>
    <row r="31" spans="1:7">
      <c r="A31" s="321">
        <v>42917</v>
      </c>
      <c r="B31" s="654">
        <f t="shared" si="2"/>
        <v>34620</v>
      </c>
      <c r="C31" s="323">
        <v>36384</v>
      </c>
      <c r="D31" s="426">
        <f t="shared" si="0"/>
        <v>1764</v>
      </c>
      <c r="E31" s="427">
        <f t="shared" si="3"/>
        <v>203951</v>
      </c>
      <c r="F31" s="357">
        <v>206045</v>
      </c>
      <c r="G31" s="346">
        <f t="shared" si="1"/>
        <v>2094</v>
      </c>
    </row>
    <row r="32" spans="1:7">
      <c r="A32" s="321">
        <v>42948</v>
      </c>
      <c r="B32" s="654">
        <f t="shared" si="2"/>
        <v>36384</v>
      </c>
      <c r="C32" s="323">
        <v>38320</v>
      </c>
      <c r="D32" s="426">
        <f t="shared" si="0"/>
        <v>1936</v>
      </c>
      <c r="E32" s="427">
        <f t="shared" si="3"/>
        <v>206045</v>
      </c>
      <c r="F32" s="357">
        <v>208289</v>
      </c>
      <c r="G32" s="346">
        <f t="shared" si="1"/>
        <v>2244</v>
      </c>
    </row>
    <row r="33" spans="1:7">
      <c r="A33" s="321">
        <v>42979</v>
      </c>
      <c r="B33" s="654">
        <f t="shared" si="2"/>
        <v>38320</v>
      </c>
      <c r="C33" s="323">
        <v>40226</v>
      </c>
      <c r="D33" s="426">
        <f t="shared" si="0"/>
        <v>1906</v>
      </c>
      <c r="E33" s="427">
        <f t="shared" si="3"/>
        <v>208289</v>
      </c>
      <c r="F33" s="357">
        <v>210468</v>
      </c>
      <c r="G33" s="346">
        <f t="shared" si="1"/>
        <v>2179</v>
      </c>
    </row>
    <row r="34" spans="1:7">
      <c r="A34" s="321">
        <v>43009</v>
      </c>
      <c r="B34" s="654">
        <f t="shared" si="2"/>
        <v>40226</v>
      </c>
      <c r="C34" s="323">
        <v>41900</v>
      </c>
      <c r="D34" s="426">
        <f t="shared" si="0"/>
        <v>1674</v>
      </c>
      <c r="E34" s="427">
        <f t="shared" si="3"/>
        <v>210468</v>
      </c>
      <c r="F34" s="357">
        <v>212474</v>
      </c>
      <c r="G34" s="346">
        <f t="shared" si="1"/>
        <v>2006</v>
      </c>
    </row>
    <row r="35" spans="1:7">
      <c r="A35" s="321">
        <v>43040</v>
      </c>
      <c r="B35" s="654">
        <f t="shared" si="2"/>
        <v>41900</v>
      </c>
      <c r="C35" s="323">
        <v>43712</v>
      </c>
      <c r="D35" s="426">
        <f t="shared" si="0"/>
        <v>1812</v>
      </c>
      <c r="E35" s="427">
        <f t="shared" si="3"/>
        <v>212474</v>
      </c>
      <c r="F35" s="357">
        <v>214566</v>
      </c>
      <c r="G35" s="346">
        <f t="shared" si="1"/>
        <v>2092</v>
      </c>
    </row>
    <row r="36" spans="1:7">
      <c r="A36" s="321">
        <v>43070</v>
      </c>
      <c r="B36" s="654">
        <f t="shared" si="2"/>
        <v>43712</v>
      </c>
      <c r="C36" s="323">
        <v>46071</v>
      </c>
      <c r="D36" s="426">
        <f t="shared" si="0"/>
        <v>2359</v>
      </c>
      <c r="E36" s="427">
        <f t="shared" si="3"/>
        <v>214566</v>
      </c>
      <c r="F36" s="357">
        <v>216654</v>
      </c>
      <c r="G36" s="346">
        <f t="shared" si="1"/>
        <v>2088</v>
      </c>
    </row>
    <row r="37" spans="1:7">
      <c r="A37" s="321">
        <v>43101</v>
      </c>
      <c r="B37" s="654">
        <f t="shared" si="2"/>
        <v>46071</v>
      </c>
      <c r="C37" s="323">
        <v>48188</v>
      </c>
      <c r="D37" s="426">
        <f t="shared" si="0"/>
        <v>2117</v>
      </c>
      <c r="E37" s="427">
        <f t="shared" si="3"/>
        <v>216654</v>
      </c>
      <c r="F37" s="357">
        <v>218779</v>
      </c>
      <c r="G37" s="346">
        <f t="shared" si="1"/>
        <v>2125</v>
      </c>
    </row>
    <row r="38" spans="1:7">
      <c r="A38" s="321">
        <v>43132</v>
      </c>
      <c r="B38" s="654">
        <f t="shared" si="2"/>
        <v>48188</v>
      </c>
      <c r="C38" s="323">
        <v>50066</v>
      </c>
      <c r="D38" s="426">
        <f t="shared" si="0"/>
        <v>1878</v>
      </c>
      <c r="E38" s="427">
        <f t="shared" si="3"/>
        <v>218779</v>
      </c>
      <c r="F38" s="357">
        <v>220744</v>
      </c>
      <c r="G38" s="346">
        <f t="shared" si="1"/>
        <v>1965</v>
      </c>
    </row>
    <row r="39" spans="1:7">
      <c r="A39" s="321">
        <v>43160</v>
      </c>
      <c r="B39" s="654">
        <f t="shared" si="2"/>
        <v>50066</v>
      </c>
      <c r="C39" s="323">
        <v>51916</v>
      </c>
      <c r="D39" s="426">
        <f t="shared" si="0"/>
        <v>1850</v>
      </c>
      <c r="E39" s="427">
        <f t="shared" si="3"/>
        <v>220744</v>
      </c>
      <c r="F39" s="357">
        <v>222873</v>
      </c>
      <c r="G39" s="346">
        <f t="shared" si="1"/>
        <v>2129</v>
      </c>
    </row>
    <row r="40" spans="1:7">
      <c r="A40" s="321">
        <v>43191</v>
      </c>
      <c r="B40" s="654">
        <f t="shared" si="2"/>
        <v>51916</v>
      </c>
      <c r="C40" s="323">
        <v>53641</v>
      </c>
      <c r="D40" s="426">
        <f t="shared" si="0"/>
        <v>1725</v>
      </c>
      <c r="E40" s="427">
        <f t="shared" si="3"/>
        <v>222873</v>
      </c>
      <c r="F40" s="357">
        <v>224922</v>
      </c>
      <c r="G40" s="346">
        <f t="shared" si="1"/>
        <v>2049</v>
      </c>
    </row>
    <row r="41" spans="1:7">
      <c r="A41" s="321">
        <v>43221</v>
      </c>
      <c r="B41" s="654">
        <f t="shared" si="2"/>
        <v>53641</v>
      </c>
      <c r="C41" s="323">
        <v>55409</v>
      </c>
      <c r="D41" s="426">
        <f t="shared" si="0"/>
        <v>1768</v>
      </c>
      <c r="E41" s="427">
        <f t="shared" si="3"/>
        <v>224922</v>
      </c>
      <c r="F41" s="357">
        <v>227063</v>
      </c>
      <c r="G41" s="346">
        <f t="shared" si="1"/>
        <v>2141</v>
      </c>
    </row>
    <row r="42" spans="1:7">
      <c r="A42" s="321">
        <v>43252</v>
      </c>
      <c r="B42" s="654">
        <f t="shared" si="2"/>
        <v>55409</v>
      </c>
      <c r="C42" s="323">
        <v>57396</v>
      </c>
      <c r="D42" s="426">
        <f t="shared" si="0"/>
        <v>1987</v>
      </c>
      <c r="E42" s="427">
        <f t="shared" si="3"/>
        <v>227063</v>
      </c>
      <c r="F42" s="357">
        <v>229163</v>
      </c>
      <c r="G42" s="346">
        <f t="shared" si="1"/>
        <v>2100</v>
      </c>
    </row>
    <row r="43" spans="1:7">
      <c r="A43" s="321">
        <v>43282</v>
      </c>
      <c r="B43" s="654">
        <f t="shared" si="2"/>
        <v>57396</v>
      </c>
      <c r="C43" s="323">
        <v>59391</v>
      </c>
      <c r="D43" s="426">
        <f t="shared" si="0"/>
        <v>1995</v>
      </c>
      <c r="E43" s="427">
        <f t="shared" si="3"/>
        <v>229163</v>
      </c>
      <c r="F43" s="357">
        <v>231359</v>
      </c>
      <c r="G43" s="346">
        <f t="shared" si="1"/>
        <v>2196</v>
      </c>
    </row>
    <row r="44" spans="1:7">
      <c r="A44" s="321">
        <v>43313</v>
      </c>
      <c r="B44" s="654">
        <f t="shared" si="2"/>
        <v>59391</v>
      </c>
      <c r="C44" s="323">
        <v>61427</v>
      </c>
      <c r="D44" s="426">
        <f t="shared" si="0"/>
        <v>2036</v>
      </c>
      <c r="E44" s="427">
        <f t="shared" si="3"/>
        <v>231359</v>
      </c>
      <c r="F44" s="357">
        <v>233548</v>
      </c>
      <c r="G44" s="346">
        <f t="shared" si="1"/>
        <v>2189</v>
      </c>
    </row>
    <row r="45" spans="1:7">
      <c r="A45" s="321">
        <v>43344</v>
      </c>
      <c r="B45" s="654">
        <f t="shared" si="2"/>
        <v>61427</v>
      </c>
      <c r="C45" s="323">
        <v>63464</v>
      </c>
      <c r="D45" s="426">
        <f t="shared" si="0"/>
        <v>2037</v>
      </c>
      <c r="E45" s="427">
        <f t="shared" si="3"/>
        <v>233548</v>
      </c>
      <c r="F45" s="357">
        <v>235653</v>
      </c>
      <c r="G45" s="346">
        <f t="shared" si="1"/>
        <v>2105</v>
      </c>
    </row>
    <row r="46" spans="1:7">
      <c r="A46" s="321">
        <v>43374</v>
      </c>
      <c r="B46" s="654">
        <f t="shared" si="2"/>
        <v>63464</v>
      </c>
      <c r="C46" s="323">
        <v>65577</v>
      </c>
      <c r="D46" s="426">
        <f t="shared" si="0"/>
        <v>2113</v>
      </c>
      <c r="E46" s="427">
        <f t="shared" si="3"/>
        <v>235653</v>
      </c>
      <c r="F46" s="357">
        <v>237802</v>
      </c>
      <c r="G46" s="346">
        <f t="shared" si="1"/>
        <v>2149</v>
      </c>
    </row>
    <row r="47" spans="1:7">
      <c r="A47" s="321">
        <v>43405</v>
      </c>
      <c r="B47" s="654">
        <f t="shared" si="2"/>
        <v>65577</v>
      </c>
      <c r="C47" s="323">
        <v>67714</v>
      </c>
      <c r="D47" s="426">
        <f t="shared" si="0"/>
        <v>2137</v>
      </c>
      <c r="E47" s="427">
        <f t="shared" si="3"/>
        <v>237802</v>
      </c>
      <c r="F47" s="357">
        <v>239883</v>
      </c>
      <c r="G47" s="346">
        <f t="shared" si="1"/>
        <v>2081</v>
      </c>
    </row>
    <row r="48" spans="1:7">
      <c r="A48" s="321">
        <v>43435</v>
      </c>
      <c r="B48" s="654">
        <f t="shared" si="2"/>
        <v>67714</v>
      </c>
      <c r="C48" s="323">
        <v>69886</v>
      </c>
      <c r="D48" s="426">
        <f t="shared" si="0"/>
        <v>2172</v>
      </c>
      <c r="E48" s="427">
        <f t="shared" si="3"/>
        <v>239883</v>
      </c>
      <c r="F48" s="357">
        <v>242023</v>
      </c>
      <c r="G48" s="346">
        <f t="shared" si="1"/>
        <v>2140</v>
      </c>
    </row>
    <row r="49" spans="1:7">
      <c r="A49" s="321">
        <v>43466</v>
      </c>
      <c r="B49" s="654">
        <f t="shared" si="2"/>
        <v>69886</v>
      </c>
      <c r="C49" s="323">
        <v>72120</v>
      </c>
      <c r="D49" s="426">
        <f t="shared" si="0"/>
        <v>2234</v>
      </c>
      <c r="E49" s="427">
        <f t="shared" si="3"/>
        <v>242023</v>
      </c>
      <c r="F49" s="357">
        <v>244252</v>
      </c>
      <c r="G49" s="346">
        <f t="shared" si="1"/>
        <v>2229</v>
      </c>
    </row>
    <row r="50" spans="1:7">
      <c r="A50" s="321">
        <v>43497</v>
      </c>
      <c r="B50" s="654">
        <f t="shared" si="2"/>
        <v>72120</v>
      </c>
      <c r="C50" s="323">
        <v>74132</v>
      </c>
      <c r="D50" s="426">
        <f t="shared" si="0"/>
        <v>2012</v>
      </c>
      <c r="E50" s="427">
        <f t="shared" si="3"/>
        <v>244252</v>
      </c>
      <c r="F50" s="357">
        <v>246272</v>
      </c>
      <c r="G50" s="346">
        <f t="shared" si="1"/>
        <v>2020</v>
      </c>
    </row>
    <row r="51" spans="1:7">
      <c r="A51" s="321">
        <v>43525</v>
      </c>
      <c r="B51" s="654">
        <f t="shared" si="2"/>
        <v>74132</v>
      </c>
      <c r="C51" s="323">
        <v>76130</v>
      </c>
      <c r="D51" s="426">
        <f t="shared" si="0"/>
        <v>1998</v>
      </c>
      <c r="E51" s="427">
        <f t="shared" si="3"/>
        <v>246272</v>
      </c>
      <c r="F51" s="357">
        <v>248562</v>
      </c>
      <c r="G51" s="346">
        <f t="shared" si="1"/>
        <v>2290</v>
      </c>
    </row>
    <row r="52" spans="1:7">
      <c r="A52" s="321">
        <v>43556</v>
      </c>
      <c r="B52" s="654">
        <f t="shared" si="2"/>
        <v>76130</v>
      </c>
      <c r="C52" s="323">
        <v>77859</v>
      </c>
      <c r="D52" s="426">
        <f t="shared" si="0"/>
        <v>1729</v>
      </c>
      <c r="E52" s="427">
        <f t="shared" si="3"/>
        <v>248562</v>
      </c>
      <c r="F52" s="357">
        <v>250789</v>
      </c>
      <c r="G52" s="346">
        <f t="shared" si="1"/>
        <v>2227</v>
      </c>
    </row>
    <row r="53" spans="1:7">
      <c r="A53" s="321">
        <v>43586</v>
      </c>
      <c r="B53" s="654">
        <f t="shared" si="2"/>
        <v>77859</v>
      </c>
      <c r="C53" s="323">
        <v>79636</v>
      </c>
      <c r="D53" s="426">
        <f t="shared" si="0"/>
        <v>1777</v>
      </c>
      <c r="E53" s="427">
        <f t="shared" si="3"/>
        <v>250789</v>
      </c>
      <c r="F53" s="357">
        <v>252878</v>
      </c>
      <c r="G53" s="346">
        <f t="shared" si="1"/>
        <v>2089</v>
      </c>
    </row>
    <row r="54" spans="1:7">
      <c r="A54" s="321">
        <v>43617</v>
      </c>
      <c r="B54" s="654">
        <f t="shared" si="2"/>
        <v>79636</v>
      </c>
      <c r="C54" s="323">
        <v>81603</v>
      </c>
      <c r="D54" s="426">
        <f t="shared" si="0"/>
        <v>1967</v>
      </c>
      <c r="E54" s="427">
        <f t="shared" si="3"/>
        <v>252878</v>
      </c>
      <c r="F54" s="357">
        <v>254783</v>
      </c>
      <c r="G54" s="346">
        <f t="shared" si="1"/>
        <v>1905</v>
      </c>
    </row>
    <row r="55" spans="1:7">
      <c r="A55" s="321">
        <v>43647</v>
      </c>
      <c r="B55" s="654">
        <f t="shared" si="2"/>
        <v>81603</v>
      </c>
      <c r="C55" s="323">
        <v>83511</v>
      </c>
      <c r="D55" s="426">
        <f t="shared" si="0"/>
        <v>1908</v>
      </c>
      <c r="E55" s="427">
        <f t="shared" si="3"/>
        <v>254783</v>
      </c>
      <c r="F55" s="323">
        <v>257138</v>
      </c>
      <c r="G55" s="346">
        <f t="shared" si="1"/>
        <v>2355</v>
      </c>
    </row>
    <row r="56" spans="1:7">
      <c r="A56" s="321">
        <v>43678</v>
      </c>
      <c r="B56" s="654">
        <f t="shared" si="2"/>
        <v>83511</v>
      </c>
      <c r="C56" s="323">
        <v>85418</v>
      </c>
      <c r="D56" s="426">
        <f t="shared" si="0"/>
        <v>1907</v>
      </c>
      <c r="E56" s="427">
        <f t="shared" si="3"/>
        <v>257138</v>
      </c>
      <c r="F56" s="323">
        <v>259453</v>
      </c>
      <c r="G56" s="346">
        <f t="shared" si="1"/>
        <v>2315</v>
      </c>
    </row>
    <row r="57" spans="1:7">
      <c r="A57" s="321">
        <v>43709</v>
      </c>
      <c r="B57" s="654">
        <f t="shared" si="2"/>
        <v>85418</v>
      </c>
      <c r="C57" s="323">
        <v>87262</v>
      </c>
      <c r="D57" s="426">
        <f t="shared" si="0"/>
        <v>1844</v>
      </c>
      <c r="E57" s="427">
        <f t="shared" si="3"/>
        <v>259453</v>
      </c>
      <c r="F57" s="323">
        <v>261652</v>
      </c>
      <c r="G57" s="346">
        <f t="shared" si="1"/>
        <v>2199</v>
      </c>
    </row>
    <row r="58" spans="1:7">
      <c r="A58" s="321">
        <v>43739</v>
      </c>
      <c r="B58" s="654">
        <f t="shared" si="2"/>
        <v>87262</v>
      </c>
      <c r="C58" s="323">
        <v>89489</v>
      </c>
      <c r="D58" s="426">
        <f t="shared" si="0"/>
        <v>2227</v>
      </c>
      <c r="E58" s="427">
        <f t="shared" si="3"/>
        <v>261652</v>
      </c>
      <c r="F58" s="323">
        <v>263905</v>
      </c>
      <c r="G58" s="346">
        <f t="shared" si="1"/>
        <v>2253</v>
      </c>
    </row>
    <row r="59" spans="1:7">
      <c r="A59" s="321">
        <v>43770</v>
      </c>
      <c r="B59" s="654">
        <f t="shared" si="2"/>
        <v>89489</v>
      </c>
      <c r="C59" s="323">
        <v>91615</v>
      </c>
      <c r="D59" s="426">
        <f t="shared" si="0"/>
        <v>2126</v>
      </c>
      <c r="E59" s="427">
        <f t="shared" si="3"/>
        <v>263905</v>
      </c>
      <c r="F59" s="323">
        <v>265969</v>
      </c>
      <c r="G59" s="346">
        <f t="shared" si="1"/>
        <v>2064</v>
      </c>
    </row>
    <row r="60" spans="1:7">
      <c r="A60" s="321">
        <v>43800</v>
      </c>
      <c r="B60" s="654">
        <f t="shared" si="2"/>
        <v>91615</v>
      </c>
      <c r="C60" s="323">
        <v>93828</v>
      </c>
      <c r="D60" s="426">
        <f t="shared" si="0"/>
        <v>2213</v>
      </c>
      <c r="E60" s="427">
        <f t="shared" si="3"/>
        <v>265969</v>
      </c>
      <c r="F60" s="323">
        <v>268212</v>
      </c>
      <c r="G60" s="346">
        <f t="shared" si="1"/>
        <v>2243</v>
      </c>
    </row>
    <row r="61" spans="1:7">
      <c r="A61" s="321">
        <v>43831</v>
      </c>
      <c r="B61" s="654">
        <f t="shared" si="2"/>
        <v>93828</v>
      </c>
      <c r="C61" s="323">
        <v>95998</v>
      </c>
      <c r="D61" s="426">
        <f t="shared" si="0"/>
        <v>2170</v>
      </c>
      <c r="E61" s="427">
        <f t="shared" si="3"/>
        <v>268212</v>
      </c>
      <c r="F61" s="323">
        <v>270443</v>
      </c>
      <c r="G61" s="346">
        <f t="shared" si="1"/>
        <v>2231</v>
      </c>
    </row>
    <row r="62" spans="1:7">
      <c r="A62" s="321">
        <v>43862</v>
      </c>
      <c r="B62" s="654">
        <f t="shared" si="2"/>
        <v>95998</v>
      </c>
      <c r="C62" s="323">
        <v>98070</v>
      </c>
      <c r="D62" s="426">
        <f t="shared" si="0"/>
        <v>2072</v>
      </c>
      <c r="E62" s="427">
        <f t="shared" si="3"/>
        <v>270443</v>
      </c>
      <c r="F62" s="323">
        <v>272554</v>
      </c>
      <c r="G62" s="346">
        <f t="shared" si="1"/>
        <v>2111</v>
      </c>
    </row>
    <row r="63" spans="1:7">
      <c r="A63" s="321">
        <v>43891</v>
      </c>
      <c r="B63" s="654">
        <f t="shared" si="2"/>
        <v>98070</v>
      </c>
      <c r="C63" s="323">
        <v>100381</v>
      </c>
      <c r="D63" s="426">
        <f t="shared" si="0"/>
        <v>2311</v>
      </c>
      <c r="E63" s="427">
        <f t="shared" si="3"/>
        <v>272554</v>
      </c>
      <c r="F63" s="323">
        <v>274788</v>
      </c>
      <c r="G63" s="346">
        <f t="shared" si="1"/>
        <v>2234</v>
      </c>
    </row>
    <row r="64" spans="1:7">
      <c r="A64" s="321">
        <v>43922</v>
      </c>
      <c r="B64" s="654">
        <f t="shared" si="2"/>
        <v>100381</v>
      </c>
      <c r="C64" s="323"/>
      <c r="D64" s="426">
        <f t="shared" si="0"/>
        <v>-100381</v>
      </c>
      <c r="E64" s="427">
        <f t="shared" si="3"/>
        <v>274788</v>
      </c>
      <c r="F64" s="323"/>
      <c r="G64" s="346">
        <f t="shared" si="1"/>
        <v>-274788</v>
      </c>
    </row>
    <row r="65" spans="1:7">
      <c r="A65" s="321">
        <v>43952</v>
      </c>
      <c r="B65" s="654">
        <f t="shared" si="2"/>
        <v>0</v>
      </c>
      <c r="C65" s="323"/>
      <c r="D65" s="426">
        <f t="shared" si="0"/>
        <v>0</v>
      </c>
      <c r="E65" s="427">
        <f t="shared" si="3"/>
        <v>0</v>
      </c>
      <c r="F65" s="323"/>
      <c r="G65" s="346">
        <f t="shared" si="1"/>
        <v>0</v>
      </c>
    </row>
    <row r="66" spans="1:7">
      <c r="A66" s="321">
        <v>43983</v>
      </c>
      <c r="B66" s="654">
        <f t="shared" si="2"/>
        <v>0</v>
      </c>
      <c r="C66" s="323"/>
      <c r="D66" s="426">
        <f t="shared" si="0"/>
        <v>0</v>
      </c>
      <c r="E66" s="427">
        <f t="shared" si="3"/>
        <v>0</v>
      </c>
      <c r="F66" s="323"/>
      <c r="G66" s="346">
        <f t="shared" si="1"/>
        <v>0</v>
      </c>
    </row>
    <row r="67" spans="1:7">
      <c r="A67" s="321">
        <v>44013</v>
      </c>
      <c r="B67" s="654">
        <f t="shared" si="2"/>
        <v>0</v>
      </c>
      <c r="C67" s="323"/>
      <c r="D67" s="426">
        <f t="shared" si="0"/>
        <v>0</v>
      </c>
      <c r="E67" s="427">
        <f t="shared" si="3"/>
        <v>0</v>
      </c>
      <c r="F67" s="323"/>
      <c r="G67" s="346">
        <f t="shared" si="1"/>
        <v>0</v>
      </c>
    </row>
    <row r="68" spans="1:7">
      <c r="A68" s="321">
        <v>44044</v>
      </c>
      <c r="B68" s="654">
        <f t="shared" si="2"/>
        <v>0</v>
      </c>
      <c r="C68" s="323"/>
      <c r="D68" s="426">
        <f t="shared" si="0"/>
        <v>0</v>
      </c>
      <c r="E68" s="427">
        <f t="shared" si="3"/>
        <v>0</v>
      </c>
      <c r="F68" s="323"/>
      <c r="G68" s="346">
        <f t="shared" si="1"/>
        <v>0</v>
      </c>
    </row>
    <row r="69" spans="1:7">
      <c r="A69" s="321">
        <v>44075</v>
      </c>
      <c r="B69" s="654">
        <f t="shared" si="2"/>
        <v>0</v>
      </c>
      <c r="C69" s="323"/>
      <c r="D69" s="426">
        <f t="shared" ref="D69:D99" si="4">C69-B69</f>
        <v>0</v>
      </c>
      <c r="E69" s="427">
        <f t="shared" si="3"/>
        <v>0</v>
      </c>
      <c r="F69" s="323"/>
      <c r="G69" s="346">
        <f t="shared" ref="G69:G99" si="5">F69-E69</f>
        <v>0</v>
      </c>
    </row>
    <row r="70" spans="1:7">
      <c r="A70" s="321">
        <v>44105</v>
      </c>
      <c r="B70" s="654">
        <f t="shared" ref="B70:B99" si="6">C69</f>
        <v>0</v>
      </c>
      <c r="C70" s="323"/>
      <c r="D70" s="426">
        <f t="shared" si="4"/>
        <v>0</v>
      </c>
      <c r="E70" s="427">
        <f t="shared" si="3"/>
        <v>0</v>
      </c>
      <c r="F70" s="323"/>
      <c r="G70" s="346">
        <f t="shared" si="5"/>
        <v>0</v>
      </c>
    </row>
    <row r="71" spans="1:7">
      <c r="A71" s="321">
        <v>44136</v>
      </c>
      <c r="B71" s="654">
        <f t="shared" si="6"/>
        <v>0</v>
      </c>
      <c r="C71" s="323"/>
      <c r="D71" s="426">
        <f t="shared" si="4"/>
        <v>0</v>
      </c>
      <c r="E71" s="427">
        <f t="shared" si="3"/>
        <v>0</v>
      </c>
      <c r="F71" s="323"/>
      <c r="G71" s="346">
        <f t="shared" si="5"/>
        <v>0</v>
      </c>
    </row>
    <row r="72" spans="1:7">
      <c r="A72" s="321">
        <v>44166</v>
      </c>
      <c r="B72" s="654">
        <f t="shared" si="6"/>
        <v>0</v>
      </c>
      <c r="C72" s="323"/>
      <c r="D72" s="426">
        <f t="shared" si="4"/>
        <v>0</v>
      </c>
      <c r="E72" s="427">
        <f t="shared" ref="E72:E99" si="7">F71</f>
        <v>0</v>
      </c>
      <c r="F72" s="323"/>
      <c r="G72" s="346">
        <f t="shared" si="5"/>
        <v>0</v>
      </c>
    </row>
    <row r="73" spans="1:7">
      <c r="A73" s="321">
        <v>44197</v>
      </c>
      <c r="B73" s="654">
        <f t="shared" si="6"/>
        <v>0</v>
      </c>
      <c r="C73" s="323"/>
      <c r="D73" s="426">
        <f t="shared" si="4"/>
        <v>0</v>
      </c>
      <c r="E73" s="427">
        <f t="shared" si="7"/>
        <v>0</v>
      </c>
      <c r="F73" s="323"/>
      <c r="G73" s="346">
        <f t="shared" si="5"/>
        <v>0</v>
      </c>
    </row>
    <row r="74" spans="1:7">
      <c r="A74" s="321">
        <v>44228</v>
      </c>
      <c r="B74" s="654">
        <f t="shared" si="6"/>
        <v>0</v>
      </c>
      <c r="C74" s="323"/>
      <c r="D74" s="426">
        <f t="shared" si="4"/>
        <v>0</v>
      </c>
      <c r="E74" s="427">
        <f t="shared" si="7"/>
        <v>0</v>
      </c>
      <c r="F74" s="323"/>
      <c r="G74" s="346">
        <f t="shared" si="5"/>
        <v>0</v>
      </c>
    </row>
    <row r="75" spans="1:7">
      <c r="A75" s="321">
        <v>44256</v>
      </c>
      <c r="B75" s="654">
        <f t="shared" si="6"/>
        <v>0</v>
      </c>
      <c r="C75" s="323"/>
      <c r="D75" s="426">
        <f t="shared" si="4"/>
        <v>0</v>
      </c>
      <c r="E75" s="427">
        <f t="shared" si="7"/>
        <v>0</v>
      </c>
      <c r="F75" s="323"/>
      <c r="G75" s="346">
        <f t="shared" si="5"/>
        <v>0</v>
      </c>
    </row>
    <row r="76" spans="1:7">
      <c r="A76" s="321">
        <v>44287</v>
      </c>
      <c r="B76" s="654">
        <f t="shared" si="6"/>
        <v>0</v>
      </c>
      <c r="C76" s="323"/>
      <c r="D76" s="426">
        <f t="shared" si="4"/>
        <v>0</v>
      </c>
      <c r="E76" s="427">
        <f t="shared" si="7"/>
        <v>0</v>
      </c>
      <c r="F76" s="323"/>
      <c r="G76" s="346">
        <f t="shared" si="5"/>
        <v>0</v>
      </c>
    </row>
    <row r="77" spans="1:7">
      <c r="A77" s="321">
        <v>44317</v>
      </c>
      <c r="B77" s="654">
        <f t="shared" si="6"/>
        <v>0</v>
      </c>
      <c r="C77" s="323"/>
      <c r="D77" s="426">
        <f t="shared" si="4"/>
        <v>0</v>
      </c>
      <c r="E77" s="427">
        <f t="shared" si="7"/>
        <v>0</v>
      </c>
      <c r="F77" s="323"/>
      <c r="G77" s="346">
        <f t="shared" si="5"/>
        <v>0</v>
      </c>
    </row>
    <row r="78" spans="1:7">
      <c r="A78" s="321">
        <v>44348</v>
      </c>
      <c r="B78" s="654">
        <f t="shared" si="6"/>
        <v>0</v>
      </c>
      <c r="C78" s="323"/>
      <c r="D78" s="426">
        <f t="shared" si="4"/>
        <v>0</v>
      </c>
      <c r="E78" s="427">
        <f t="shared" si="7"/>
        <v>0</v>
      </c>
      <c r="F78" s="323"/>
      <c r="G78" s="346">
        <f t="shared" si="5"/>
        <v>0</v>
      </c>
    </row>
    <row r="79" spans="1:7">
      <c r="A79" s="321">
        <v>44378</v>
      </c>
      <c r="B79" s="654">
        <f t="shared" si="6"/>
        <v>0</v>
      </c>
      <c r="C79" s="323"/>
      <c r="D79" s="426">
        <f t="shared" si="4"/>
        <v>0</v>
      </c>
      <c r="E79" s="427">
        <f t="shared" si="7"/>
        <v>0</v>
      </c>
      <c r="F79" s="323"/>
      <c r="G79" s="346">
        <f t="shared" si="5"/>
        <v>0</v>
      </c>
    </row>
    <row r="80" spans="1:7">
      <c r="A80" s="321">
        <v>44409</v>
      </c>
      <c r="B80" s="654">
        <f t="shared" si="6"/>
        <v>0</v>
      </c>
      <c r="C80" s="323"/>
      <c r="D80" s="426">
        <f t="shared" si="4"/>
        <v>0</v>
      </c>
      <c r="E80" s="427">
        <f t="shared" si="7"/>
        <v>0</v>
      </c>
      <c r="F80" s="323"/>
      <c r="G80" s="346">
        <f t="shared" si="5"/>
        <v>0</v>
      </c>
    </row>
    <row r="81" spans="1:7">
      <c r="A81" s="321">
        <v>44440</v>
      </c>
      <c r="B81" s="654">
        <f t="shared" si="6"/>
        <v>0</v>
      </c>
      <c r="C81" s="323"/>
      <c r="D81" s="426">
        <f t="shared" si="4"/>
        <v>0</v>
      </c>
      <c r="E81" s="427">
        <f t="shared" si="7"/>
        <v>0</v>
      </c>
      <c r="F81" s="323"/>
      <c r="G81" s="346">
        <f t="shared" si="5"/>
        <v>0</v>
      </c>
    </row>
    <row r="82" spans="1:7">
      <c r="A82" s="321">
        <v>44470</v>
      </c>
      <c r="B82" s="654">
        <f t="shared" si="6"/>
        <v>0</v>
      </c>
      <c r="C82" s="323"/>
      <c r="D82" s="426">
        <f t="shared" si="4"/>
        <v>0</v>
      </c>
      <c r="E82" s="427">
        <f t="shared" si="7"/>
        <v>0</v>
      </c>
      <c r="F82" s="6"/>
      <c r="G82" s="346">
        <f t="shared" si="5"/>
        <v>0</v>
      </c>
    </row>
    <row r="83" spans="1:7">
      <c r="A83" s="321">
        <v>44501</v>
      </c>
      <c r="B83" s="654">
        <f t="shared" si="6"/>
        <v>0</v>
      </c>
      <c r="C83" s="323"/>
      <c r="D83" s="426">
        <f t="shared" si="4"/>
        <v>0</v>
      </c>
      <c r="E83" s="427">
        <f t="shared" si="7"/>
        <v>0</v>
      </c>
      <c r="F83" s="6"/>
      <c r="G83" s="346">
        <f t="shared" si="5"/>
        <v>0</v>
      </c>
    </row>
    <row r="84" spans="1:7">
      <c r="A84" s="321">
        <v>44531</v>
      </c>
      <c r="B84" s="654">
        <f t="shared" si="6"/>
        <v>0</v>
      </c>
      <c r="C84" s="323"/>
      <c r="D84" s="426">
        <f t="shared" si="4"/>
        <v>0</v>
      </c>
      <c r="E84" s="427">
        <f t="shared" si="7"/>
        <v>0</v>
      </c>
      <c r="F84" s="6"/>
      <c r="G84" s="346">
        <f t="shared" si="5"/>
        <v>0</v>
      </c>
    </row>
    <row r="85" spans="1:7">
      <c r="A85" s="321">
        <v>44562</v>
      </c>
      <c r="B85" s="654">
        <f t="shared" si="6"/>
        <v>0</v>
      </c>
      <c r="C85" s="323"/>
      <c r="D85" s="426">
        <f t="shared" si="4"/>
        <v>0</v>
      </c>
      <c r="E85" s="427">
        <f t="shared" si="7"/>
        <v>0</v>
      </c>
      <c r="F85" s="6"/>
      <c r="G85" s="346">
        <f t="shared" si="5"/>
        <v>0</v>
      </c>
    </row>
    <row r="86" spans="1:7">
      <c r="A86" s="321">
        <v>44593</v>
      </c>
      <c r="B86" s="654">
        <f t="shared" si="6"/>
        <v>0</v>
      </c>
      <c r="C86" s="6"/>
      <c r="D86" s="426">
        <f t="shared" si="4"/>
        <v>0</v>
      </c>
      <c r="E86" s="427">
        <f t="shared" si="7"/>
        <v>0</v>
      </c>
      <c r="F86" s="6"/>
      <c r="G86" s="346">
        <f t="shared" si="5"/>
        <v>0</v>
      </c>
    </row>
    <row r="87" spans="1:7">
      <c r="A87" s="321">
        <v>44621</v>
      </c>
      <c r="B87" s="654">
        <f t="shared" si="6"/>
        <v>0</v>
      </c>
      <c r="C87" s="6"/>
      <c r="D87" s="426">
        <f t="shared" si="4"/>
        <v>0</v>
      </c>
      <c r="E87" s="427">
        <f t="shared" si="7"/>
        <v>0</v>
      </c>
      <c r="F87" s="6"/>
      <c r="G87" s="346">
        <f t="shared" si="5"/>
        <v>0</v>
      </c>
    </row>
    <row r="88" spans="1:7">
      <c r="A88" s="321">
        <v>44652</v>
      </c>
      <c r="B88" s="654">
        <f t="shared" si="6"/>
        <v>0</v>
      </c>
      <c r="C88" s="6"/>
      <c r="D88" s="426">
        <f t="shared" si="4"/>
        <v>0</v>
      </c>
      <c r="E88" s="427">
        <f t="shared" si="7"/>
        <v>0</v>
      </c>
      <c r="F88" s="6"/>
      <c r="G88" s="346">
        <f t="shared" si="5"/>
        <v>0</v>
      </c>
    </row>
    <row r="89" spans="1:7">
      <c r="A89" s="321">
        <v>44682</v>
      </c>
      <c r="B89" s="654">
        <f t="shared" si="6"/>
        <v>0</v>
      </c>
      <c r="C89" s="6"/>
      <c r="D89" s="426">
        <f t="shared" si="4"/>
        <v>0</v>
      </c>
      <c r="E89" s="427">
        <f t="shared" si="7"/>
        <v>0</v>
      </c>
      <c r="F89" s="6"/>
      <c r="G89" s="346">
        <f t="shared" si="5"/>
        <v>0</v>
      </c>
    </row>
    <row r="90" spans="1:7">
      <c r="A90" s="321">
        <v>44713</v>
      </c>
      <c r="B90" s="654">
        <f t="shared" si="6"/>
        <v>0</v>
      </c>
      <c r="C90" s="6"/>
      <c r="D90" s="426">
        <f t="shared" si="4"/>
        <v>0</v>
      </c>
      <c r="E90" s="427">
        <f t="shared" si="7"/>
        <v>0</v>
      </c>
      <c r="F90" s="6"/>
      <c r="G90" s="346">
        <f t="shared" si="5"/>
        <v>0</v>
      </c>
    </row>
    <row r="91" spans="1:7">
      <c r="A91" s="321">
        <v>44743</v>
      </c>
      <c r="B91" s="654">
        <f t="shared" si="6"/>
        <v>0</v>
      </c>
      <c r="C91" s="6"/>
      <c r="D91" s="426">
        <f t="shared" si="4"/>
        <v>0</v>
      </c>
      <c r="E91" s="427">
        <f t="shared" si="7"/>
        <v>0</v>
      </c>
      <c r="F91" s="6"/>
      <c r="G91" s="346">
        <f t="shared" si="5"/>
        <v>0</v>
      </c>
    </row>
    <row r="92" spans="1:7">
      <c r="A92" s="321">
        <v>44774</v>
      </c>
      <c r="B92" s="654">
        <f t="shared" si="6"/>
        <v>0</v>
      </c>
      <c r="C92" s="6"/>
      <c r="D92" s="426">
        <f t="shared" si="4"/>
        <v>0</v>
      </c>
      <c r="E92" s="427">
        <f t="shared" si="7"/>
        <v>0</v>
      </c>
      <c r="F92" s="6"/>
      <c r="G92" s="346">
        <f t="shared" si="5"/>
        <v>0</v>
      </c>
    </row>
    <row r="93" spans="1:7">
      <c r="A93" s="321">
        <v>44805</v>
      </c>
      <c r="B93" s="654">
        <f t="shared" si="6"/>
        <v>0</v>
      </c>
      <c r="C93" s="6"/>
      <c r="D93" s="426">
        <f t="shared" si="4"/>
        <v>0</v>
      </c>
      <c r="E93" s="427">
        <f t="shared" si="7"/>
        <v>0</v>
      </c>
      <c r="F93" s="6"/>
      <c r="G93" s="346">
        <f t="shared" si="5"/>
        <v>0</v>
      </c>
    </row>
    <row r="94" spans="1:7">
      <c r="A94" s="321">
        <v>44835</v>
      </c>
      <c r="B94" s="654">
        <f t="shared" si="6"/>
        <v>0</v>
      </c>
      <c r="C94" s="6"/>
      <c r="D94" s="426">
        <f t="shared" si="4"/>
        <v>0</v>
      </c>
      <c r="E94" s="427">
        <f t="shared" si="7"/>
        <v>0</v>
      </c>
      <c r="F94" s="6"/>
      <c r="G94" s="346">
        <f t="shared" si="5"/>
        <v>0</v>
      </c>
    </row>
    <row r="95" spans="1:7">
      <c r="A95" s="321">
        <v>44866</v>
      </c>
      <c r="B95" s="654">
        <f t="shared" si="6"/>
        <v>0</v>
      </c>
      <c r="C95" s="6"/>
      <c r="D95" s="426">
        <f t="shared" si="4"/>
        <v>0</v>
      </c>
      <c r="E95" s="427">
        <f t="shared" si="7"/>
        <v>0</v>
      </c>
      <c r="F95" s="6"/>
      <c r="G95" s="346">
        <f t="shared" si="5"/>
        <v>0</v>
      </c>
    </row>
    <row r="96" spans="1:7">
      <c r="A96" s="321">
        <v>44896</v>
      </c>
      <c r="B96" s="654">
        <f t="shared" si="6"/>
        <v>0</v>
      </c>
      <c r="C96" s="6"/>
      <c r="D96" s="426">
        <f t="shared" si="4"/>
        <v>0</v>
      </c>
      <c r="E96" s="427">
        <f t="shared" si="7"/>
        <v>0</v>
      </c>
      <c r="F96" s="6"/>
      <c r="G96" s="346">
        <f t="shared" si="5"/>
        <v>0</v>
      </c>
    </row>
    <row r="97" spans="1:7">
      <c r="A97" s="321">
        <v>44927</v>
      </c>
      <c r="B97" s="654">
        <f t="shared" si="6"/>
        <v>0</v>
      </c>
      <c r="C97" s="6"/>
      <c r="D97" s="426">
        <f t="shared" si="4"/>
        <v>0</v>
      </c>
      <c r="E97" s="427">
        <f t="shared" si="7"/>
        <v>0</v>
      </c>
      <c r="F97" s="6"/>
      <c r="G97" s="346">
        <f t="shared" si="5"/>
        <v>0</v>
      </c>
    </row>
    <row r="98" spans="1:7">
      <c r="A98" s="321">
        <v>44958</v>
      </c>
      <c r="B98" s="654">
        <f t="shared" si="6"/>
        <v>0</v>
      </c>
      <c r="C98" s="6"/>
      <c r="D98" s="426">
        <f t="shared" si="4"/>
        <v>0</v>
      </c>
      <c r="E98" s="427">
        <f t="shared" si="7"/>
        <v>0</v>
      </c>
      <c r="F98" s="6"/>
      <c r="G98" s="346">
        <f t="shared" si="5"/>
        <v>0</v>
      </c>
    </row>
    <row r="99" spans="1:7" ht="13.5" thickBot="1">
      <c r="A99" s="321">
        <v>44986</v>
      </c>
      <c r="B99" s="655">
        <f t="shared" si="6"/>
        <v>0</v>
      </c>
      <c r="C99" s="8"/>
      <c r="D99" s="656">
        <f t="shared" si="4"/>
        <v>0</v>
      </c>
      <c r="E99" s="657">
        <f t="shared" si="7"/>
        <v>0</v>
      </c>
      <c r="F99" s="8"/>
      <c r="G99" s="394">
        <f t="shared" si="5"/>
        <v>0</v>
      </c>
    </row>
    <row r="101" spans="1:7" ht="13.5" thickBot="1"/>
    <row r="102" spans="1:7">
      <c r="B102" s="891" t="s">
        <v>343</v>
      </c>
      <c r="C102" s="892"/>
      <c r="D102" s="893"/>
      <c r="E102" s="891" t="s">
        <v>344</v>
      </c>
      <c r="F102" s="892"/>
      <c r="G102" s="893"/>
    </row>
    <row r="103" spans="1:7">
      <c r="B103" s="894"/>
      <c r="C103" s="895"/>
      <c r="D103" s="896"/>
      <c r="E103" s="894"/>
      <c r="F103" s="895"/>
      <c r="G103" s="896"/>
    </row>
    <row r="104" spans="1:7">
      <c r="B104" s="761"/>
      <c r="C104" s="20"/>
      <c r="D104" s="762"/>
      <c r="E104" s="761"/>
      <c r="F104" s="20"/>
      <c r="G104" s="762"/>
    </row>
    <row r="105" spans="1:7">
      <c r="B105" s="761"/>
      <c r="C105" s="20"/>
      <c r="D105" s="762"/>
      <c r="E105" s="761"/>
      <c r="F105" s="20"/>
      <c r="G105" s="762"/>
    </row>
    <row r="106" spans="1:7">
      <c r="B106" s="761"/>
      <c r="C106" s="20"/>
      <c r="D106" s="762"/>
      <c r="E106" s="761"/>
      <c r="F106" s="20"/>
      <c r="G106" s="762"/>
    </row>
    <row r="107" spans="1:7">
      <c r="B107" s="761"/>
      <c r="C107" s="20"/>
      <c r="D107" s="762"/>
      <c r="E107" s="761"/>
      <c r="F107" s="20"/>
      <c r="G107" s="762"/>
    </row>
    <row r="108" spans="1:7" ht="13.5" thickBot="1">
      <c r="B108" s="763"/>
      <c r="C108" s="332"/>
      <c r="D108" s="764"/>
      <c r="E108" s="763"/>
      <c r="F108" s="332"/>
      <c r="G108" s="764"/>
    </row>
  </sheetData>
  <mergeCells count="5">
    <mergeCell ref="A1:G1"/>
    <mergeCell ref="B2:D2"/>
    <mergeCell ref="E2:G2"/>
    <mergeCell ref="E102:G103"/>
    <mergeCell ref="B102:D103"/>
  </mergeCells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8"/>
  <sheetViews>
    <sheetView topLeftCell="A58" workbookViewId="0">
      <selection activeCell="F95" sqref="F95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885" t="s">
        <v>231</v>
      </c>
      <c r="B1" s="886"/>
      <c r="C1" s="886"/>
      <c r="D1" s="886"/>
      <c r="G1" s="361"/>
      <c r="H1" s="362" t="s">
        <v>232</v>
      </c>
      <c r="I1" s="362"/>
      <c r="J1" s="361"/>
      <c r="K1" s="361"/>
    </row>
    <row r="2" spans="1:12" ht="39" thickBot="1">
      <c r="A2" s="658" t="s">
        <v>7</v>
      </c>
      <c r="B2" s="659" t="s">
        <v>178</v>
      </c>
      <c r="C2" s="659" t="s">
        <v>179</v>
      </c>
      <c r="D2" s="660" t="s">
        <v>196</v>
      </c>
      <c r="E2" s="660" t="s">
        <v>237</v>
      </c>
      <c r="F2" s="661" t="s">
        <v>215</v>
      </c>
      <c r="G2" s="662" t="s">
        <v>233</v>
      </c>
      <c r="H2" s="663" t="s">
        <v>234</v>
      </c>
      <c r="I2" s="664" t="s">
        <v>235</v>
      </c>
      <c r="J2" s="663" t="s">
        <v>236</v>
      </c>
      <c r="K2" s="663" t="s">
        <v>215</v>
      </c>
      <c r="L2" s="665" t="s">
        <v>197</v>
      </c>
    </row>
    <row r="3" spans="1:12">
      <c r="A3" s="344">
        <v>42430</v>
      </c>
      <c r="B3" s="666">
        <v>5000778</v>
      </c>
      <c r="C3" s="667">
        <v>5057715</v>
      </c>
      <c r="D3" s="668">
        <f>C3-B3</f>
        <v>56937</v>
      </c>
      <c r="E3" s="541"/>
      <c r="F3" s="669"/>
      <c r="G3" s="670">
        <f>H3</f>
        <v>0</v>
      </c>
      <c r="H3" s="671"/>
      <c r="I3" s="672">
        <f>H3-G3</f>
        <v>0</v>
      </c>
      <c r="J3" s="671"/>
      <c r="K3" s="673">
        <f>I3-J3</f>
        <v>0</v>
      </c>
      <c r="L3" s="674"/>
    </row>
    <row r="4" spans="1:12">
      <c r="A4" s="321">
        <v>42461</v>
      </c>
      <c r="B4" s="418">
        <f>C3</f>
        <v>5057715</v>
      </c>
      <c r="C4" s="323">
        <v>5111496</v>
      </c>
      <c r="D4" s="525">
        <f t="shared" ref="D4:D67" si="0">C4-B4</f>
        <v>53781</v>
      </c>
      <c r="E4" s="323"/>
      <c r="F4" s="675"/>
      <c r="G4" s="676">
        <f>H3</f>
        <v>0</v>
      </c>
      <c r="H4" s="6"/>
      <c r="I4" s="356">
        <f t="shared" ref="I4:I67" si="1">H4-G4</f>
        <v>0</v>
      </c>
      <c r="J4" s="6"/>
      <c r="K4" s="363">
        <f t="shared" ref="K4:K67" si="2">I4-J4</f>
        <v>0</v>
      </c>
      <c r="L4" s="677"/>
    </row>
    <row r="5" spans="1:12">
      <c r="A5" s="321">
        <v>42491</v>
      </c>
      <c r="B5" s="418">
        <f t="shared" ref="B5:B68" si="3">C4</f>
        <v>5111496</v>
      </c>
      <c r="C5" s="323">
        <v>5169409</v>
      </c>
      <c r="D5" s="525">
        <f t="shared" si="0"/>
        <v>57913</v>
      </c>
      <c r="E5" s="323"/>
      <c r="F5" s="675"/>
      <c r="G5" s="676">
        <f t="shared" ref="G5:G68" si="4">H4</f>
        <v>0</v>
      </c>
      <c r="H5" s="6"/>
      <c r="I5" s="356">
        <f t="shared" si="1"/>
        <v>0</v>
      </c>
      <c r="J5" s="6"/>
      <c r="K5" s="363">
        <f t="shared" si="2"/>
        <v>0</v>
      </c>
      <c r="L5" s="677"/>
    </row>
    <row r="6" spans="1:12">
      <c r="A6" s="321">
        <v>42522</v>
      </c>
      <c r="B6" s="418">
        <f t="shared" si="3"/>
        <v>5169409</v>
      </c>
      <c r="C6" s="323">
        <v>5232162</v>
      </c>
      <c r="D6" s="525">
        <f t="shared" si="0"/>
        <v>62753</v>
      </c>
      <c r="E6" s="323"/>
      <c r="F6" s="675"/>
      <c r="G6" s="676">
        <f t="shared" si="4"/>
        <v>0</v>
      </c>
      <c r="H6" s="6"/>
      <c r="I6" s="356">
        <f t="shared" si="1"/>
        <v>0</v>
      </c>
      <c r="J6" s="6"/>
      <c r="K6" s="363">
        <f t="shared" si="2"/>
        <v>0</v>
      </c>
      <c r="L6" s="677"/>
    </row>
    <row r="7" spans="1:12">
      <c r="A7" s="321">
        <v>42552</v>
      </c>
      <c r="B7" s="418">
        <f t="shared" si="3"/>
        <v>5232162</v>
      </c>
      <c r="C7" s="323">
        <v>5310037</v>
      </c>
      <c r="D7" s="525">
        <f t="shared" si="0"/>
        <v>77875</v>
      </c>
      <c r="E7" s="323"/>
      <c r="F7" s="675"/>
      <c r="G7" s="676">
        <f t="shared" si="4"/>
        <v>0</v>
      </c>
      <c r="H7" s="6"/>
      <c r="I7" s="356">
        <f t="shared" si="1"/>
        <v>0</v>
      </c>
      <c r="J7" s="6"/>
      <c r="K7" s="363">
        <f t="shared" si="2"/>
        <v>0</v>
      </c>
      <c r="L7" s="677"/>
    </row>
    <row r="8" spans="1:12">
      <c r="A8" s="321">
        <v>42583</v>
      </c>
      <c r="B8" s="418">
        <f t="shared" si="3"/>
        <v>5310037</v>
      </c>
      <c r="C8" s="323">
        <v>5382821</v>
      </c>
      <c r="D8" s="525">
        <f t="shared" si="0"/>
        <v>72784</v>
      </c>
      <c r="E8" s="323">
        <f>[4]Gen!AR45</f>
        <v>72766</v>
      </c>
      <c r="F8" s="675">
        <f t="shared" ref="F8:F71" si="5">D8-E8</f>
        <v>18</v>
      </c>
      <c r="G8" s="676">
        <f t="shared" si="4"/>
        <v>0</v>
      </c>
      <c r="H8" s="6"/>
      <c r="I8" s="356">
        <f t="shared" si="1"/>
        <v>0</v>
      </c>
      <c r="J8" s="6"/>
      <c r="K8" s="363">
        <f t="shared" si="2"/>
        <v>0</v>
      </c>
      <c r="L8" s="677"/>
    </row>
    <row r="9" spans="1:12">
      <c r="A9" s="321">
        <v>42614</v>
      </c>
      <c r="B9" s="418">
        <f t="shared" si="3"/>
        <v>5382821</v>
      </c>
      <c r="C9" s="323">
        <v>5446740</v>
      </c>
      <c r="D9" s="525">
        <f t="shared" si="0"/>
        <v>63919</v>
      </c>
      <c r="E9" s="323">
        <f>[5]Gen!AR45</f>
        <v>64036.499999999993</v>
      </c>
      <c r="F9" s="675">
        <f t="shared" si="5"/>
        <v>-117.49999999999272</v>
      </c>
      <c r="G9" s="676">
        <f t="shared" si="4"/>
        <v>0</v>
      </c>
      <c r="H9" s="6"/>
      <c r="I9" s="356">
        <f t="shared" si="1"/>
        <v>0</v>
      </c>
      <c r="J9" s="6"/>
      <c r="K9" s="363">
        <f t="shared" si="2"/>
        <v>0</v>
      </c>
      <c r="L9" s="677"/>
    </row>
    <row r="10" spans="1:12">
      <c r="A10" s="321">
        <v>42644</v>
      </c>
      <c r="B10" s="418">
        <f t="shared" si="3"/>
        <v>5446740</v>
      </c>
      <c r="C10" s="323">
        <v>5521440</v>
      </c>
      <c r="D10" s="525">
        <f t="shared" si="0"/>
        <v>74700</v>
      </c>
      <c r="E10" s="678">
        <v>76057.09</v>
      </c>
      <c r="F10" s="675">
        <f t="shared" si="5"/>
        <v>-1357.0899999999965</v>
      </c>
      <c r="G10" s="676">
        <f t="shared" si="4"/>
        <v>0</v>
      </c>
      <c r="H10" s="6"/>
      <c r="I10" s="356">
        <f t="shared" si="1"/>
        <v>0</v>
      </c>
      <c r="J10" s="6"/>
      <c r="K10" s="363">
        <f t="shared" si="2"/>
        <v>0</v>
      </c>
      <c r="L10" s="677"/>
    </row>
    <row r="11" spans="1:12">
      <c r="A11" s="321">
        <v>42675</v>
      </c>
      <c r="B11" s="418">
        <f t="shared" si="3"/>
        <v>5521440</v>
      </c>
      <c r="C11" s="323">
        <v>5594926</v>
      </c>
      <c r="D11" s="525">
        <f t="shared" si="0"/>
        <v>73486</v>
      </c>
      <c r="E11" s="678">
        <v>73462.489999999991</v>
      </c>
      <c r="F11" s="675">
        <f t="shared" si="5"/>
        <v>23.510000000009313</v>
      </c>
      <c r="G11" s="676">
        <f t="shared" si="4"/>
        <v>0</v>
      </c>
      <c r="H11" s="6"/>
      <c r="I11" s="356">
        <f t="shared" si="1"/>
        <v>0</v>
      </c>
      <c r="J11" s="6"/>
      <c r="K11" s="363">
        <f t="shared" si="2"/>
        <v>0</v>
      </c>
      <c r="L11" s="677"/>
    </row>
    <row r="12" spans="1:12">
      <c r="A12" s="321">
        <v>42705</v>
      </c>
      <c r="B12" s="418">
        <f t="shared" si="3"/>
        <v>5594926</v>
      </c>
      <c r="C12" s="323">
        <v>5670348</v>
      </c>
      <c r="D12" s="525">
        <f t="shared" si="0"/>
        <v>75422</v>
      </c>
      <c r="E12" s="323">
        <v>75421.2</v>
      </c>
      <c r="F12" s="675">
        <f t="shared" si="5"/>
        <v>0.80000000000291038</v>
      </c>
      <c r="G12" s="676">
        <f t="shared" si="4"/>
        <v>0</v>
      </c>
      <c r="H12" s="6"/>
      <c r="I12" s="356">
        <f t="shared" si="1"/>
        <v>0</v>
      </c>
      <c r="J12" s="6"/>
      <c r="K12" s="363">
        <f t="shared" si="2"/>
        <v>0</v>
      </c>
      <c r="L12" s="677"/>
    </row>
    <row r="13" spans="1:12">
      <c r="A13" s="321">
        <v>42736</v>
      </c>
      <c r="B13" s="418">
        <f t="shared" si="3"/>
        <v>5670348</v>
      </c>
      <c r="C13" s="323">
        <v>5735627</v>
      </c>
      <c r="D13" s="525">
        <f t="shared" si="0"/>
        <v>65279</v>
      </c>
      <c r="E13" s="323">
        <v>65276.07</v>
      </c>
      <c r="F13" s="675">
        <f t="shared" si="5"/>
        <v>2.930000000000291</v>
      </c>
      <c r="G13" s="676">
        <f t="shared" si="4"/>
        <v>0</v>
      </c>
      <c r="H13" s="6"/>
      <c r="I13" s="356">
        <f t="shared" si="1"/>
        <v>0</v>
      </c>
      <c r="J13" s="6"/>
      <c r="K13" s="363">
        <f t="shared" si="2"/>
        <v>0</v>
      </c>
      <c r="L13" s="677"/>
    </row>
    <row r="14" spans="1:12">
      <c r="A14" s="321">
        <v>42767</v>
      </c>
      <c r="B14" s="418">
        <f t="shared" si="3"/>
        <v>5735627</v>
      </c>
      <c r="C14" s="323">
        <v>5797781</v>
      </c>
      <c r="D14" s="525">
        <f t="shared" si="0"/>
        <v>62154</v>
      </c>
      <c r="E14" s="323">
        <v>62154.9</v>
      </c>
      <c r="F14" s="675">
        <f t="shared" si="5"/>
        <v>-0.90000000000145519</v>
      </c>
      <c r="G14" s="676">
        <f t="shared" si="4"/>
        <v>0</v>
      </c>
      <c r="H14" s="6"/>
      <c r="I14" s="356">
        <f t="shared" si="1"/>
        <v>0</v>
      </c>
      <c r="J14" s="6"/>
      <c r="K14" s="363">
        <f t="shared" si="2"/>
        <v>0</v>
      </c>
      <c r="L14" s="677"/>
    </row>
    <row r="15" spans="1:12">
      <c r="A15" s="321">
        <v>42795</v>
      </c>
      <c r="B15" s="418">
        <f t="shared" si="3"/>
        <v>5797781</v>
      </c>
      <c r="C15" s="323">
        <v>5864602</v>
      </c>
      <c r="D15" s="525">
        <f t="shared" si="0"/>
        <v>66821</v>
      </c>
      <c r="E15" s="679">
        <v>66820.89</v>
      </c>
      <c r="F15" s="675">
        <f t="shared" si="5"/>
        <v>0.11000000000058208</v>
      </c>
      <c r="G15" s="676">
        <f t="shared" si="4"/>
        <v>0</v>
      </c>
      <c r="H15" s="6"/>
      <c r="I15" s="356">
        <f t="shared" si="1"/>
        <v>0</v>
      </c>
      <c r="J15" s="6"/>
      <c r="K15" s="363">
        <f t="shared" si="2"/>
        <v>0</v>
      </c>
      <c r="L15" s="677"/>
    </row>
    <row r="16" spans="1:12">
      <c r="A16" s="321">
        <v>42826</v>
      </c>
      <c r="B16" s="418">
        <f t="shared" si="3"/>
        <v>5864602</v>
      </c>
      <c r="C16" s="357">
        <v>5927895</v>
      </c>
      <c r="D16" s="525">
        <f t="shared" si="0"/>
        <v>63293</v>
      </c>
      <c r="E16" s="323">
        <v>63292.38</v>
      </c>
      <c r="F16" s="675">
        <f t="shared" si="5"/>
        <v>0.62000000000261934</v>
      </c>
      <c r="G16" s="676">
        <f t="shared" si="4"/>
        <v>0</v>
      </c>
      <c r="H16" s="6"/>
      <c r="I16" s="356">
        <f t="shared" si="1"/>
        <v>0</v>
      </c>
      <c r="J16" s="6"/>
      <c r="K16" s="363">
        <f t="shared" si="2"/>
        <v>0</v>
      </c>
      <c r="L16" s="677"/>
    </row>
    <row r="17" spans="1:12">
      <c r="A17" s="321">
        <v>42856</v>
      </c>
      <c r="B17" s="418">
        <f t="shared" si="3"/>
        <v>5927895</v>
      </c>
      <c r="C17" s="323">
        <v>5995212</v>
      </c>
      <c r="D17" s="525">
        <f t="shared" si="0"/>
        <v>67317</v>
      </c>
      <c r="E17" s="323">
        <v>67313.47</v>
      </c>
      <c r="F17" s="675">
        <f t="shared" si="5"/>
        <v>3.5299999999988358</v>
      </c>
      <c r="G17" s="676">
        <f t="shared" si="4"/>
        <v>0</v>
      </c>
      <c r="H17" s="6"/>
      <c r="I17" s="356">
        <f t="shared" si="1"/>
        <v>0</v>
      </c>
      <c r="J17" s="6"/>
      <c r="K17" s="363">
        <f t="shared" si="2"/>
        <v>0</v>
      </c>
      <c r="L17" s="677"/>
    </row>
    <row r="18" spans="1:12">
      <c r="A18" s="321">
        <v>42887</v>
      </c>
      <c r="B18" s="418">
        <f t="shared" si="3"/>
        <v>5995212</v>
      </c>
      <c r="C18" s="323">
        <v>6065754</v>
      </c>
      <c r="D18" s="525">
        <f t="shared" si="0"/>
        <v>70542</v>
      </c>
      <c r="E18" s="323">
        <v>70542.600000000006</v>
      </c>
      <c r="F18" s="675">
        <f t="shared" si="5"/>
        <v>-0.60000000000582077</v>
      </c>
      <c r="G18" s="676">
        <f t="shared" si="4"/>
        <v>0</v>
      </c>
      <c r="H18" s="6"/>
      <c r="I18" s="356">
        <f t="shared" si="1"/>
        <v>0</v>
      </c>
      <c r="J18" s="323"/>
      <c r="K18" s="363">
        <f t="shared" si="2"/>
        <v>0</v>
      </c>
      <c r="L18" s="677"/>
    </row>
    <row r="19" spans="1:12">
      <c r="A19" s="321">
        <v>42917</v>
      </c>
      <c r="B19" s="418">
        <f t="shared" si="3"/>
        <v>6065754</v>
      </c>
      <c r="C19" s="323">
        <v>6141089</v>
      </c>
      <c r="D19" s="525">
        <f t="shared" si="0"/>
        <v>75335</v>
      </c>
      <c r="E19" s="323">
        <v>75335</v>
      </c>
      <c r="F19" s="675">
        <f t="shared" si="5"/>
        <v>0</v>
      </c>
      <c r="G19" s="676">
        <v>2442</v>
      </c>
      <c r="H19" s="323">
        <v>15003</v>
      </c>
      <c r="I19" s="356">
        <f t="shared" si="1"/>
        <v>12561</v>
      </c>
      <c r="J19" s="323"/>
      <c r="K19" s="363">
        <f t="shared" si="2"/>
        <v>12561</v>
      </c>
      <c r="L19" s="677"/>
    </row>
    <row r="20" spans="1:12">
      <c r="A20" s="321">
        <v>42948</v>
      </c>
      <c r="B20" s="418">
        <f t="shared" si="3"/>
        <v>6141089</v>
      </c>
      <c r="C20" s="323">
        <v>6212470</v>
      </c>
      <c r="D20" s="525">
        <f t="shared" si="0"/>
        <v>71381</v>
      </c>
      <c r="E20" s="323">
        <v>71379.899999999994</v>
      </c>
      <c r="F20" s="675">
        <f t="shared" si="5"/>
        <v>1.1000000000058208</v>
      </c>
      <c r="G20" s="676">
        <f t="shared" si="4"/>
        <v>15003</v>
      </c>
      <c r="H20" s="323">
        <v>25033</v>
      </c>
      <c r="I20" s="356">
        <f t="shared" si="1"/>
        <v>10030</v>
      </c>
      <c r="J20" s="323">
        <v>10029.74</v>
      </c>
      <c r="K20" s="363">
        <f t="shared" si="2"/>
        <v>0.26000000000021828</v>
      </c>
      <c r="L20" s="677">
        <f>I20+D20</f>
        <v>81411</v>
      </c>
    </row>
    <row r="21" spans="1:12">
      <c r="A21" s="321">
        <v>42979</v>
      </c>
      <c r="B21" s="418">
        <f t="shared" si="3"/>
        <v>6212470</v>
      </c>
      <c r="C21" s="357">
        <v>6276921</v>
      </c>
      <c r="D21" s="525">
        <f t="shared" si="0"/>
        <v>64451</v>
      </c>
      <c r="E21" s="357">
        <v>64450.62</v>
      </c>
      <c r="F21" s="675">
        <f t="shared" si="5"/>
        <v>0.37999999999738066</v>
      </c>
      <c r="G21" s="676">
        <f t="shared" si="4"/>
        <v>25033</v>
      </c>
      <c r="H21" s="357">
        <v>32815</v>
      </c>
      <c r="I21" s="356">
        <f t="shared" si="1"/>
        <v>7782</v>
      </c>
      <c r="J21" s="357">
        <v>7781.72</v>
      </c>
      <c r="K21" s="363">
        <f t="shared" si="2"/>
        <v>0.27999999999974534</v>
      </c>
      <c r="L21" s="677">
        <f t="shared" ref="L21:L84" si="6">I21+D21</f>
        <v>72233</v>
      </c>
    </row>
    <row r="22" spans="1:12">
      <c r="A22" s="321">
        <v>43009</v>
      </c>
      <c r="B22" s="418">
        <f t="shared" si="3"/>
        <v>6276921</v>
      </c>
      <c r="C22" s="357">
        <v>6352831</v>
      </c>
      <c r="D22" s="525">
        <f t="shared" si="0"/>
        <v>75910</v>
      </c>
      <c r="E22" s="357">
        <v>75906.789999999994</v>
      </c>
      <c r="F22" s="675">
        <f t="shared" si="5"/>
        <v>3.2100000000064028</v>
      </c>
      <c r="G22" s="676">
        <f t="shared" si="4"/>
        <v>32815</v>
      </c>
      <c r="H22" s="357">
        <v>39587</v>
      </c>
      <c r="I22" s="356">
        <f t="shared" si="1"/>
        <v>6772</v>
      </c>
      <c r="J22" s="357">
        <v>6772.04</v>
      </c>
      <c r="K22" s="363">
        <f t="shared" si="2"/>
        <v>-3.999999999996362E-2</v>
      </c>
      <c r="L22" s="677">
        <f t="shared" si="6"/>
        <v>82682</v>
      </c>
    </row>
    <row r="23" spans="1:12">
      <c r="A23" s="321">
        <v>43040</v>
      </c>
      <c r="B23" s="418">
        <f t="shared" si="3"/>
        <v>6352831</v>
      </c>
      <c r="C23" s="357">
        <v>6410003</v>
      </c>
      <c r="D23" s="525">
        <f t="shared" si="0"/>
        <v>57172</v>
      </c>
      <c r="E23" s="357">
        <v>57171.51</v>
      </c>
      <c r="F23" s="675">
        <f t="shared" si="5"/>
        <v>0.48999999999796273</v>
      </c>
      <c r="G23" s="676">
        <f t="shared" si="4"/>
        <v>39587</v>
      </c>
      <c r="H23" s="357">
        <v>45717</v>
      </c>
      <c r="I23" s="356">
        <f t="shared" si="1"/>
        <v>6130</v>
      </c>
      <c r="J23" s="357">
        <v>6129.55</v>
      </c>
      <c r="K23" s="363">
        <f t="shared" si="2"/>
        <v>0.4499999999998181</v>
      </c>
      <c r="L23" s="677">
        <f t="shared" si="6"/>
        <v>63302</v>
      </c>
    </row>
    <row r="24" spans="1:12">
      <c r="A24" s="321">
        <v>43070</v>
      </c>
      <c r="B24" s="418">
        <f t="shared" si="3"/>
        <v>6410003</v>
      </c>
      <c r="C24" s="323">
        <v>6476953</v>
      </c>
      <c r="D24" s="525">
        <f t="shared" si="0"/>
        <v>66950</v>
      </c>
      <c r="E24" s="323">
        <v>66951.14</v>
      </c>
      <c r="F24" s="675">
        <f t="shared" si="5"/>
        <v>-1.1399999999994179</v>
      </c>
      <c r="G24" s="676">
        <f t="shared" si="4"/>
        <v>45717</v>
      </c>
      <c r="H24" s="323">
        <v>52890</v>
      </c>
      <c r="I24" s="356">
        <f t="shared" si="1"/>
        <v>7173</v>
      </c>
      <c r="J24" s="323">
        <v>7173.94</v>
      </c>
      <c r="K24" s="363">
        <f t="shared" si="2"/>
        <v>-0.93999999999959982</v>
      </c>
      <c r="L24" s="677">
        <f t="shared" si="6"/>
        <v>74123</v>
      </c>
    </row>
    <row r="25" spans="1:12">
      <c r="A25" s="321">
        <v>43101</v>
      </c>
      <c r="B25" s="418">
        <f t="shared" si="3"/>
        <v>6476953</v>
      </c>
      <c r="C25" s="323">
        <v>6542879</v>
      </c>
      <c r="D25" s="525">
        <f t="shared" si="0"/>
        <v>65926</v>
      </c>
      <c r="E25" s="323">
        <v>65927.77</v>
      </c>
      <c r="F25" s="675">
        <f t="shared" si="5"/>
        <v>-1.7700000000040745</v>
      </c>
      <c r="G25" s="676">
        <f t="shared" si="4"/>
        <v>52890</v>
      </c>
      <c r="H25" s="323">
        <v>59763</v>
      </c>
      <c r="I25" s="356">
        <f t="shared" si="1"/>
        <v>6873</v>
      </c>
      <c r="J25" s="323">
        <v>6874.87</v>
      </c>
      <c r="K25" s="363">
        <f t="shared" si="2"/>
        <v>-1.8699999999998909</v>
      </c>
      <c r="L25" s="677">
        <f t="shared" si="6"/>
        <v>72799</v>
      </c>
    </row>
    <row r="26" spans="1:12">
      <c r="A26" s="321">
        <v>43132</v>
      </c>
      <c r="B26" s="418">
        <f t="shared" si="3"/>
        <v>6542879</v>
      </c>
      <c r="C26" s="323">
        <v>6604433</v>
      </c>
      <c r="D26" s="525">
        <f t="shared" si="0"/>
        <v>61554</v>
      </c>
      <c r="E26" s="393">
        <v>61553.03</v>
      </c>
      <c r="F26" s="675">
        <f t="shared" si="5"/>
        <v>0.97000000000116415</v>
      </c>
      <c r="G26" s="676">
        <f t="shared" si="4"/>
        <v>59763</v>
      </c>
      <c r="H26" s="323">
        <v>66652</v>
      </c>
      <c r="I26" s="356">
        <f t="shared" si="1"/>
        <v>6889</v>
      </c>
      <c r="J26" s="323">
        <v>6890.89</v>
      </c>
      <c r="K26" s="363">
        <f t="shared" si="2"/>
        <v>-1.8900000000003274</v>
      </c>
      <c r="L26" s="677">
        <f t="shared" si="6"/>
        <v>68443</v>
      </c>
    </row>
    <row r="27" spans="1:12">
      <c r="A27" s="321">
        <v>43160</v>
      </c>
      <c r="B27" s="418">
        <f t="shared" si="3"/>
        <v>6604433</v>
      </c>
      <c r="C27" s="357">
        <v>6660226</v>
      </c>
      <c r="D27" s="525">
        <f t="shared" si="0"/>
        <v>55793</v>
      </c>
      <c r="E27" s="357">
        <v>55792.75</v>
      </c>
      <c r="F27" s="675">
        <f t="shared" si="5"/>
        <v>0.25</v>
      </c>
      <c r="G27" s="676">
        <f t="shared" si="4"/>
        <v>66652</v>
      </c>
      <c r="H27" s="357">
        <v>77607</v>
      </c>
      <c r="I27" s="356">
        <f t="shared" si="1"/>
        <v>10955</v>
      </c>
      <c r="J27" s="357">
        <v>10955.45</v>
      </c>
      <c r="K27" s="363">
        <f t="shared" si="2"/>
        <v>-0.4500000000007276</v>
      </c>
      <c r="L27" s="677">
        <f t="shared" si="6"/>
        <v>66748</v>
      </c>
    </row>
    <row r="28" spans="1:12">
      <c r="A28" s="321">
        <v>43191</v>
      </c>
      <c r="B28" s="418">
        <f t="shared" si="3"/>
        <v>6660226</v>
      </c>
      <c r="C28" s="323">
        <v>6714539</v>
      </c>
      <c r="D28" s="525">
        <f t="shared" si="0"/>
        <v>54313</v>
      </c>
      <c r="E28" s="357">
        <v>54312.28</v>
      </c>
      <c r="F28" s="675">
        <f t="shared" si="5"/>
        <v>0.72000000000116415</v>
      </c>
      <c r="G28" s="676">
        <f t="shared" si="4"/>
        <v>77607</v>
      </c>
      <c r="H28" s="323">
        <v>82271</v>
      </c>
      <c r="I28" s="356">
        <f t="shared" si="1"/>
        <v>4664</v>
      </c>
      <c r="J28" s="357">
        <v>4665.22</v>
      </c>
      <c r="K28" s="363">
        <f t="shared" si="2"/>
        <v>-1.2200000000002547</v>
      </c>
      <c r="L28" s="677">
        <f t="shared" si="6"/>
        <v>58977</v>
      </c>
    </row>
    <row r="29" spans="1:12">
      <c r="A29" s="345">
        <v>43221</v>
      </c>
      <c r="B29" s="418">
        <f t="shared" si="3"/>
        <v>6714539</v>
      </c>
      <c r="C29" s="323">
        <v>6774547</v>
      </c>
      <c r="D29" s="525">
        <f t="shared" si="0"/>
        <v>60008</v>
      </c>
      <c r="E29" s="323">
        <v>60007.47</v>
      </c>
      <c r="F29" s="675">
        <f t="shared" si="5"/>
        <v>0.52999999999883585</v>
      </c>
      <c r="G29" s="676">
        <f t="shared" si="4"/>
        <v>82271</v>
      </c>
      <c r="H29" s="323">
        <v>88664</v>
      </c>
      <c r="I29" s="356">
        <f t="shared" si="1"/>
        <v>6393</v>
      </c>
      <c r="J29" s="323">
        <v>6392.14</v>
      </c>
      <c r="K29" s="363">
        <f t="shared" si="2"/>
        <v>0.85999999999967258</v>
      </c>
      <c r="L29" s="677">
        <f t="shared" si="6"/>
        <v>66401</v>
      </c>
    </row>
    <row r="30" spans="1:12">
      <c r="A30" s="321">
        <v>43252</v>
      </c>
      <c r="B30" s="418">
        <f t="shared" si="3"/>
        <v>6774547</v>
      </c>
      <c r="C30" s="323">
        <v>6845214</v>
      </c>
      <c r="D30" s="525">
        <f t="shared" si="0"/>
        <v>70667</v>
      </c>
      <c r="E30" s="323">
        <v>70666.289999999994</v>
      </c>
      <c r="F30" s="675">
        <f t="shared" si="5"/>
        <v>0.71000000000640284</v>
      </c>
      <c r="G30" s="676">
        <f t="shared" si="4"/>
        <v>88664</v>
      </c>
      <c r="H30" s="323">
        <v>99683</v>
      </c>
      <c r="I30" s="356">
        <f t="shared" si="1"/>
        <v>11019</v>
      </c>
      <c r="J30" s="357">
        <v>11020.51</v>
      </c>
      <c r="K30" s="363">
        <f t="shared" si="2"/>
        <v>-1.5100000000002183</v>
      </c>
      <c r="L30" s="677">
        <f t="shared" si="6"/>
        <v>81686</v>
      </c>
    </row>
    <row r="31" spans="1:12">
      <c r="A31" s="321">
        <v>43282</v>
      </c>
      <c r="B31" s="418">
        <f t="shared" si="3"/>
        <v>6845214</v>
      </c>
      <c r="C31" s="357">
        <v>6921964</v>
      </c>
      <c r="D31" s="525">
        <f t="shared" si="0"/>
        <v>76750</v>
      </c>
      <c r="E31" s="357">
        <v>76750.25</v>
      </c>
      <c r="F31" s="675">
        <f t="shared" si="5"/>
        <v>-0.25</v>
      </c>
      <c r="G31" s="676">
        <f t="shared" si="4"/>
        <v>99683</v>
      </c>
      <c r="H31" s="357">
        <v>107936</v>
      </c>
      <c r="I31" s="356">
        <f t="shared" si="1"/>
        <v>8253</v>
      </c>
      <c r="J31" s="357">
        <v>8252.24</v>
      </c>
      <c r="K31" s="363">
        <f t="shared" si="2"/>
        <v>0.76000000000021828</v>
      </c>
      <c r="L31" s="677">
        <f t="shared" si="6"/>
        <v>85003</v>
      </c>
    </row>
    <row r="32" spans="1:12">
      <c r="A32" s="321">
        <v>43313</v>
      </c>
      <c r="B32" s="418">
        <f t="shared" si="3"/>
        <v>6921964</v>
      </c>
      <c r="C32" s="357">
        <v>7001142</v>
      </c>
      <c r="D32" s="525">
        <f t="shared" si="0"/>
        <v>79178</v>
      </c>
      <c r="E32" s="357">
        <v>79179.56</v>
      </c>
      <c r="F32" s="675">
        <f t="shared" si="5"/>
        <v>-1.5599999999976717</v>
      </c>
      <c r="G32" s="676">
        <f t="shared" si="4"/>
        <v>107936</v>
      </c>
      <c r="H32" s="357">
        <v>116730</v>
      </c>
      <c r="I32" s="356">
        <f t="shared" si="1"/>
        <v>8794</v>
      </c>
      <c r="J32" s="357">
        <v>8793.1200000000008</v>
      </c>
      <c r="K32" s="363">
        <f t="shared" si="2"/>
        <v>0.87999999999919964</v>
      </c>
      <c r="L32" s="677">
        <f t="shared" si="6"/>
        <v>87972</v>
      </c>
    </row>
    <row r="33" spans="1:12">
      <c r="A33" s="321">
        <v>43344</v>
      </c>
      <c r="B33" s="418">
        <f t="shared" si="3"/>
        <v>7001142</v>
      </c>
      <c r="C33" s="357">
        <v>7074217</v>
      </c>
      <c r="D33" s="525">
        <f t="shared" si="0"/>
        <v>73075</v>
      </c>
      <c r="E33" s="357">
        <v>73076.960000000006</v>
      </c>
      <c r="F33" s="675">
        <f t="shared" si="5"/>
        <v>-1.9600000000064028</v>
      </c>
      <c r="G33" s="676">
        <f t="shared" si="4"/>
        <v>116730</v>
      </c>
      <c r="H33" s="357">
        <v>127346</v>
      </c>
      <c r="I33" s="356">
        <f t="shared" si="1"/>
        <v>10616</v>
      </c>
      <c r="J33" s="357">
        <v>10615.37</v>
      </c>
      <c r="K33" s="363">
        <f t="shared" si="2"/>
        <v>0.62999999999919964</v>
      </c>
      <c r="L33" s="677">
        <f t="shared" si="6"/>
        <v>83691</v>
      </c>
    </row>
    <row r="34" spans="1:12">
      <c r="A34" s="321">
        <v>43374</v>
      </c>
      <c r="B34" s="418">
        <f t="shared" si="3"/>
        <v>7074217</v>
      </c>
      <c r="C34" s="323">
        <v>7154506</v>
      </c>
      <c r="D34" s="525">
        <f t="shared" si="0"/>
        <v>80289</v>
      </c>
      <c r="E34" s="323">
        <v>80287.839999999997</v>
      </c>
      <c r="F34" s="675">
        <f t="shared" si="5"/>
        <v>1.1600000000034925</v>
      </c>
      <c r="G34" s="676">
        <f t="shared" si="4"/>
        <v>127346</v>
      </c>
      <c r="H34" s="323">
        <v>134840</v>
      </c>
      <c r="I34" s="356">
        <f t="shared" si="1"/>
        <v>7494</v>
      </c>
      <c r="J34" s="323">
        <v>7493.99</v>
      </c>
      <c r="K34" s="363">
        <f t="shared" si="2"/>
        <v>1.0000000000218279E-2</v>
      </c>
      <c r="L34" s="677">
        <f t="shared" si="6"/>
        <v>87783</v>
      </c>
    </row>
    <row r="35" spans="1:12">
      <c r="A35" s="321">
        <v>43405</v>
      </c>
      <c r="B35" s="418">
        <f t="shared" si="3"/>
        <v>7154506</v>
      </c>
      <c r="C35" s="323">
        <v>7225359</v>
      </c>
      <c r="D35" s="525">
        <f t="shared" si="0"/>
        <v>70853</v>
      </c>
      <c r="E35" s="323">
        <v>70852.88</v>
      </c>
      <c r="F35" s="675">
        <f t="shared" si="5"/>
        <v>0.11999999999534339</v>
      </c>
      <c r="G35" s="676">
        <f t="shared" si="4"/>
        <v>134840</v>
      </c>
      <c r="H35" s="323">
        <v>145302</v>
      </c>
      <c r="I35" s="356">
        <f t="shared" si="1"/>
        <v>10462</v>
      </c>
      <c r="J35" s="323">
        <v>10462.700000000001</v>
      </c>
      <c r="K35" s="363">
        <f t="shared" si="2"/>
        <v>-0.7000000000007276</v>
      </c>
      <c r="L35" s="677">
        <f t="shared" si="6"/>
        <v>81315</v>
      </c>
    </row>
    <row r="36" spans="1:12">
      <c r="A36" s="321">
        <v>43435</v>
      </c>
      <c r="B36" s="418">
        <f t="shared" si="3"/>
        <v>7225359</v>
      </c>
      <c r="C36" s="323">
        <v>7296581</v>
      </c>
      <c r="D36" s="525">
        <f t="shared" si="0"/>
        <v>71222</v>
      </c>
      <c r="E36" s="323">
        <v>71221.22</v>
      </c>
      <c r="F36" s="675">
        <f t="shared" si="5"/>
        <v>0.77999999999883585</v>
      </c>
      <c r="G36" s="676">
        <f t="shared" si="4"/>
        <v>145302</v>
      </c>
      <c r="H36" s="323">
        <v>154999</v>
      </c>
      <c r="I36" s="356">
        <f t="shared" si="1"/>
        <v>9697</v>
      </c>
      <c r="J36" s="323">
        <v>9696.7999999999993</v>
      </c>
      <c r="K36" s="363">
        <f t="shared" si="2"/>
        <v>0.2000000000007276</v>
      </c>
      <c r="L36" s="677">
        <f t="shared" si="6"/>
        <v>80919</v>
      </c>
    </row>
    <row r="37" spans="1:12">
      <c r="A37" s="321">
        <v>43466</v>
      </c>
      <c r="B37" s="418">
        <f t="shared" si="3"/>
        <v>7296581</v>
      </c>
      <c r="C37" s="323">
        <v>7366625</v>
      </c>
      <c r="D37" s="525">
        <f t="shared" si="0"/>
        <v>70044</v>
      </c>
      <c r="E37" s="323">
        <v>70042.86</v>
      </c>
      <c r="F37" s="675">
        <f t="shared" si="5"/>
        <v>1.1399999999994179</v>
      </c>
      <c r="G37" s="676">
        <f t="shared" si="4"/>
        <v>154999</v>
      </c>
      <c r="H37" s="323">
        <v>161103</v>
      </c>
      <c r="I37" s="356">
        <f t="shared" si="1"/>
        <v>6104</v>
      </c>
      <c r="J37" s="323">
        <v>6107.32</v>
      </c>
      <c r="K37" s="363">
        <f t="shared" si="2"/>
        <v>-3.319999999999709</v>
      </c>
      <c r="L37" s="677">
        <f t="shared" si="6"/>
        <v>76148</v>
      </c>
    </row>
    <row r="38" spans="1:12">
      <c r="A38" s="321">
        <v>43497</v>
      </c>
      <c r="B38" s="418">
        <f t="shared" si="3"/>
        <v>7366625</v>
      </c>
      <c r="C38" s="323">
        <v>7427612</v>
      </c>
      <c r="D38" s="525">
        <f t="shared" si="0"/>
        <v>60987</v>
      </c>
      <c r="E38" s="323">
        <v>60986.27</v>
      </c>
      <c r="F38" s="675">
        <f t="shared" si="5"/>
        <v>0.73000000000320142</v>
      </c>
      <c r="G38" s="676">
        <f t="shared" si="4"/>
        <v>161103</v>
      </c>
      <c r="H38" s="323">
        <v>167784</v>
      </c>
      <c r="I38" s="356">
        <f t="shared" si="1"/>
        <v>6681</v>
      </c>
      <c r="J38" s="323">
        <v>6681</v>
      </c>
      <c r="K38" s="363">
        <f t="shared" si="2"/>
        <v>0</v>
      </c>
      <c r="L38" s="677">
        <f t="shared" si="6"/>
        <v>67668</v>
      </c>
    </row>
    <row r="39" spans="1:12">
      <c r="A39" s="321">
        <v>43525</v>
      </c>
      <c r="B39" s="418">
        <f t="shared" si="3"/>
        <v>7427612</v>
      </c>
      <c r="C39" s="323">
        <v>7494502</v>
      </c>
      <c r="D39" s="525">
        <f t="shared" si="0"/>
        <v>66890</v>
      </c>
      <c r="E39" s="323">
        <v>66888.649999999994</v>
      </c>
      <c r="F39" s="675">
        <f t="shared" si="5"/>
        <v>1.3500000000058208</v>
      </c>
      <c r="G39" s="676">
        <f t="shared" si="4"/>
        <v>167784</v>
      </c>
      <c r="H39" s="323">
        <v>178453</v>
      </c>
      <c r="I39" s="356">
        <f t="shared" si="1"/>
        <v>10669</v>
      </c>
      <c r="J39" s="323">
        <v>10669.59</v>
      </c>
      <c r="K39" s="363">
        <f t="shared" si="2"/>
        <v>-0.59000000000014552</v>
      </c>
      <c r="L39" s="677">
        <f t="shared" si="6"/>
        <v>77559</v>
      </c>
    </row>
    <row r="40" spans="1:12">
      <c r="A40" s="321">
        <v>43556</v>
      </c>
      <c r="B40" s="418">
        <f t="shared" si="3"/>
        <v>7494502</v>
      </c>
      <c r="C40" s="323">
        <v>7567839</v>
      </c>
      <c r="D40" s="525">
        <f t="shared" si="0"/>
        <v>73337</v>
      </c>
      <c r="E40" s="323">
        <v>73336.570000000007</v>
      </c>
      <c r="F40" s="675">
        <f t="shared" si="5"/>
        <v>0.42999999999301508</v>
      </c>
      <c r="G40" s="676">
        <f t="shared" si="4"/>
        <v>178453</v>
      </c>
      <c r="H40" s="323">
        <v>185868</v>
      </c>
      <c r="I40" s="356">
        <f t="shared" si="1"/>
        <v>7415</v>
      </c>
      <c r="J40" s="323">
        <v>7415.91</v>
      </c>
      <c r="K40" s="363">
        <f t="shared" si="2"/>
        <v>-0.90999999999985448</v>
      </c>
      <c r="L40" s="677">
        <f t="shared" si="6"/>
        <v>80752</v>
      </c>
    </row>
    <row r="41" spans="1:12">
      <c r="A41" s="321">
        <v>43586</v>
      </c>
      <c r="B41" s="418">
        <f t="shared" si="3"/>
        <v>7567839</v>
      </c>
      <c r="C41" s="323">
        <v>7635177</v>
      </c>
      <c r="D41" s="525">
        <f t="shared" si="0"/>
        <v>67338</v>
      </c>
      <c r="E41" s="323">
        <v>67338.48</v>
      </c>
      <c r="F41" s="675">
        <f t="shared" si="5"/>
        <v>-0.47999999999592546</v>
      </c>
      <c r="G41" s="676">
        <f t="shared" si="4"/>
        <v>185868</v>
      </c>
      <c r="H41" s="323">
        <v>191580</v>
      </c>
      <c r="I41" s="356">
        <f t="shared" si="1"/>
        <v>5712</v>
      </c>
      <c r="J41" s="323">
        <v>5711.08</v>
      </c>
      <c r="K41" s="363">
        <f t="shared" si="2"/>
        <v>0.92000000000007276</v>
      </c>
      <c r="L41" s="677">
        <f t="shared" si="6"/>
        <v>73050</v>
      </c>
    </row>
    <row r="42" spans="1:12">
      <c r="A42" s="321">
        <v>43617</v>
      </c>
      <c r="B42" s="418">
        <f t="shared" si="3"/>
        <v>7635177</v>
      </c>
      <c r="C42" s="323">
        <v>7705814</v>
      </c>
      <c r="D42" s="525">
        <f t="shared" si="0"/>
        <v>70637</v>
      </c>
      <c r="E42" s="323">
        <v>70631.199999999997</v>
      </c>
      <c r="F42" s="675">
        <f>D42-E42</f>
        <v>5.8000000000029104</v>
      </c>
      <c r="G42" s="676">
        <f t="shared" si="4"/>
        <v>191580</v>
      </c>
      <c r="H42" s="323">
        <v>198910</v>
      </c>
      <c r="I42" s="356">
        <f t="shared" si="1"/>
        <v>7330</v>
      </c>
      <c r="J42" s="323">
        <v>7352.54</v>
      </c>
      <c r="K42" s="363">
        <f t="shared" si="2"/>
        <v>-22.539999999999964</v>
      </c>
      <c r="L42" s="677">
        <f t="shared" si="6"/>
        <v>77967</v>
      </c>
    </row>
    <row r="43" spans="1:12">
      <c r="A43" s="321">
        <v>43647</v>
      </c>
      <c r="B43" s="418">
        <f t="shared" si="3"/>
        <v>7705814</v>
      </c>
      <c r="C43" s="323">
        <v>7789265</v>
      </c>
      <c r="D43" s="525">
        <f t="shared" si="0"/>
        <v>83451</v>
      </c>
      <c r="E43" s="323">
        <v>83450.259999999995</v>
      </c>
      <c r="F43" s="675">
        <f t="shared" si="5"/>
        <v>0.74000000000523869</v>
      </c>
      <c r="G43" s="676">
        <f t="shared" si="4"/>
        <v>198910</v>
      </c>
      <c r="H43" s="323">
        <v>208208</v>
      </c>
      <c r="I43" s="356">
        <f t="shared" si="1"/>
        <v>9298</v>
      </c>
      <c r="J43" s="323">
        <v>8921.51</v>
      </c>
      <c r="K43" s="363">
        <f t="shared" si="2"/>
        <v>376.48999999999978</v>
      </c>
      <c r="L43" s="677">
        <f t="shared" si="6"/>
        <v>92749</v>
      </c>
    </row>
    <row r="44" spans="1:12">
      <c r="A44" s="321">
        <v>43678</v>
      </c>
      <c r="B44" s="418">
        <f t="shared" si="3"/>
        <v>7789265</v>
      </c>
      <c r="C44" s="323">
        <v>7867728</v>
      </c>
      <c r="D44" s="525">
        <f t="shared" si="0"/>
        <v>78463</v>
      </c>
      <c r="E44" s="323">
        <v>78463.600000000006</v>
      </c>
      <c r="F44" s="675">
        <f>D44-E44</f>
        <v>-0.60000000000582077</v>
      </c>
      <c r="G44" s="676">
        <f t="shared" si="4"/>
        <v>208208</v>
      </c>
      <c r="H44" s="323">
        <v>216205</v>
      </c>
      <c r="I44" s="356">
        <f t="shared" si="1"/>
        <v>7997</v>
      </c>
      <c r="J44" s="323">
        <v>7870.33</v>
      </c>
      <c r="K44" s="363">
        <f t="shared" si="2"/>
        <v>126.67000000000007</v>
      </c>
      <c r="L44" s="677">
        <f t="shared" si="6"/>
        <v>86460</v>
      </c>
    </row>
    <row r="45" spans="1:12">
      <c r="A45" s="321">
        <v>43709</v>
      </c>
      <c r="B45" s="418">
        <f t="shared" si="3"/>
        <v>7867728</v>
      </c>
      <c r="C45" s="323">
        <v>7937278</v>
      </c>
      <c r="D45" s="525">
        <f t="shared" si="0"/>
        <v>69550</v>
      </c>
      <c r="E45" s="323">
        <v>69549.31</v>
      </c>
      <c r="F45" s="675">
        <f t="shared" si="5"/>
        <v>0.69000000000232831</v>
      </c>
      <c r="G45" s="676">
        <f t="shared" si="4"/>
        <v>216205</v>
      </c>
      <c r="H45" s="323">
        <v>223195</v>
      </c>
      <c r="I45" s="356">
        <f t="shared" si="1"/>
        <v>6990</v>
      </c>
      <c r="J45" s="323">
        <v>6989.22</v>
      </c>
      <c r="K45" s="363">
        <f t="shared" si="2"/>
        <v>0.77999999999974534</v>
      </c>
      <c r="L45" s="677">
        <f t="shared" si="6"/>
        <v>76540</v>
      </c>
    </row>
    <row r="46" spans="1:12">
      <c r="A46" s="321">
        <v>43739</v>
      </c>
      <c r="B46" s="418">
        <f t="shared" si="3"/>
        <v>7937278</v>
      </c>
      <c r="C46" s="323">
        <v>8009185</v>
      </c>
      <c r="D46" s="525">
        <f t="shared" si="0"/>
        <v>71907</v>
      </c>
      <c r="E46" s="323">
        <v>71906.240000000005</v>
      </c>
      <c r="F46" s="675">
        <f t="shared" si="5"/>
        <v>0.75999999999476131</v>
      </c>
      <c r="G46" s="676">
        <f t="shared" si="4"/>
        <v>223195</v>
      </c>
      <c r="H46" s="323">
        <v>229902</v>
      </c>
      <c r="I46" s="356">
        <f t="shared" si="1"/>
        <v>6707</v>
      </c>
      <c r="J46" s="323">
        <v>6706</v>
      </c>
      <c r="K46" s="363">
        <f t="shared" si="2"/>
        <v>1</v>
      </c>
      <c r="L46" s="677">
        <f t="shared" si="6"/>
        <v>78614</v>
      </c>
    </row>
    <row r="47" spans="1:12">
      <c r="A47" s="321">
        <v>43770</v>
      </c>
      <c r="B47" s="418">
        <f t="shared" si="3"/>
        <v>8009185</v>
      </c>
      <c r="C47" s="323">
        <v>8069975</v>
      </c>
      <c r="D47" s="525">
        <f t="shared" si="0"/>
        <v>60790</v>
      </c>
      <c r="E47" s="323">
        <v>60788.44</v>
      </c>
      <c r="F47" s="675">
        <f t="shared" si="5"/>
        <v>1.5599999999976717</v>
      </c>
      <c r="G47" s="676">
        <f t="shared" si="4"/>
        <v>229902</v>
      </c>
      <c r="H47" s="323">
        <v>235486</v>
      </c>
      <c r="I47" s="356">
        <f t="shared" si="1"/>
        <v>5584</v>
      </c>
      <c r="J47" s="323">
        <v>5584</v>
      </c>
      <c r="K47" s="363">
        <f t="shared" si="2"/>
        <v>0</v>
      </c>
      <c r="L47" s="677">
        <f t="shared" si="6"/>
        <v>66374</v>
      </c>
    </row>
    <row r="48" spans="1:12">
      <c r="A48" s="321">
        <v>43800</v>
      </c>
      <c r="B48" s="418">
        <f t="shared" si="3"/>
        <v>8069975</v>
      </c>
      <c r="C48" s="357">
        <v>8133966</v>
      </c>
      <c r="D48" s="525">
        <f t="shared" si="0"/>
        <v>63991</v>
      </c>
      <c r="E48" s="357">
        <v>63990.63</v>
      </c>
      <c r="F48" s="675">
        <f t="shared" si="5"/>
        <v>0.37000000000261934</v>
      </c>
      <c r="G48" s="676">
        <f t="shared" si="4"/>
        <v>235486</v>
      </c>
      <c r="H48" s="357">
        <v>245835</v>
      </c>
      <c r="I48" s="356">
        <f t="shared" si="1"/>
        <v>10349</v>
      </c>
      <c r="J48" s="357">
        <v>10348.06</v>
      </c>
      <c r="K48" s="363">
        <f t="shared" si="2"/>
        <v>0.94000000000050932</v>
      </c>
      <c r="L48" s="677">
        <f t="shared" si="6"/>
        <v>74340</v>
      </c>
    </row>
    <row r="49" spans="1:12">
      <c r="A49" s="321">
        <v>43831</v>
      </c>
      <c r="B49" s="418">
        <f t="shared" si="3"/>
        <v>8133966</v>
      </c>
      <c r="C49" s="323">
        <v>8200024</v>
      </c>
      <c r="D49" s="525">
        <f t="shared" si="0"/>
        <v>66058</v>
      </c>
      <c r="E49" s="323">
        <v>66057.75</v>
      </c>
      <c r="F49" s="675">
        <f t="shared" si="5"/>
        <v>0.25</v>
      </c>
      <c r="G49" s="676">
        <f t="shared" si="4"/>
        <v>245835</v>
      </c>
      <c r="H49" s="323">
        <v>253278</v>
      </c>
      <c r="I49" s="356">
        <f t="shared" si="1"/>
        <v>7443</v>
      </c>
      <c r="J49" s="323">
        <v>7443.22</v>
      </c>
      <c r="K49" s="363">
        <f t="shared" si="2"/>
        <v>-0.22000000000025466</v>
      </c>
      <c r="L49" s="677">
        <f t="shared" si="6"/>
        <v>73501</v>
      </c>
    </row>
    <row r="50" spans="1:12">
      <c r="A50" s="321">
        <v>43862</v>
      </c>
      <c r="B50" s="418">
        <f t="shared" si="3"/>
        <v>8200024</v>
      </c>
      <c r="C50" s="323">
        <v>8265856</v>
      </c>
      <c r="D50" s="525">
        <f t="shared" si="0"/>
        <v>65832</v>
      </c>
      <c r="E50" s="323">
        <v>65831.210000000006</v>
      </c>
      <c r="F50" s="675">
        <f t="shared" si="5"/>
        <v>0.78999999999359716</v>
      </c>
      <c r="G50" s="676">
        <f t="shared" si="4"/>
        <v>253278</v>
      </c>
      <c r="H50" s="323">
        <v>259127</v>
      </c>
      <c r="I50" s="356">
        <f t="shared" si="1"/>
        <v>5849</v>
      </c>
      <c r="J50" s="323">
        <v>5848.37</v>
      </c>
      <c r="K50" s="363">
        <f t="shared" si="2"/>
        <v>0.63000000000010914</v>
      </c>
      <c r="L50" s="677">
        <f t="shared" si="6"/>
        <v>71681</v>
      </c>
    </row>
    <row r="51" spans="1:12">
      <c r="A51" s="321">
        <v>43891</v>
      </c>
      <c r="B51" s="418">
        <f t="shared" si="3"/>
        <v>8265856</v>
      </c>
      <c r="C51" s="323">
        <v>8316467</v>
      </c>
      <c r="D51" s="525">
        <f t="shared" si="0"/>
        <v>50611</v>
      </c>
      <c r="E51" s="323">
        <v>50610.58</v>
      </c>
      <c r="F51" s="675">
        <f t="shared" si="5"/>
        <v>0.41999999999825377</v>
      </c>
      <c r="G51" s="676">
        <f t="shared" si="4"/>
        <v>259127</v>
      </c>
      <c r="H51" s="323">
        <v>262770</v>
      </c>
      <c r="I51" s="356">
        <f t="shared" si="1"/>
        <v>3643</v>
      </c>
      <c r="J51" s="323">
        <v>3643.28</v>
      </c>
      <c r="K51" s="363">
        <f t="shared" si="2"/>
        <v>-0.28000000000020009</v>
      </c>
      <c r="L51" s="677">
        <f t="shared" si="6"/>
        <v>54254</v>
      </c>
    </row>
    <row r="52" spans="1:12">
      <c r="A52" s="321">
        <v>43922</v>
      </c>
      <c r="B52" s="418">
        <f t="shared" si="3"/>
        <v>8316467</v>
      </c>
      <c r="C52" s="323"/>
      <c r="D52" s="525">
        <f t="shared" si="0"/>
        <v>-8316467</v>
      </c>
      <c r="E52" s="323"/>
      <c r="F52" s="675">
        <f t="shared" si="5"/>
        <v>-8316467</v>
      </c>
      <c r="G52" s="676">
        <f t="shared" si="4"/>
        <v>262770</v>
      </c>
      <c r="H52" s="323"/>
      <c r="I52" s="356">
        <f t="shared" si="1"/>
        <v>-262770</v>
      </c>
      <c r="J52" s="323"/>
      <c r="K52" s="363">
        <f t="shared" si="2"/>
        <v>-262770</v>
      </c>
      <c r="L52" s="677">
        <f t="shared" si="6"/>
        <v>-8579237</v>
      </c>
    </row>
    <row r="53" spans="1:12">
      <c r="A53" s="321">
        <v>43952</v>
      </c>
      <c r="B53" s="418">
        <f t="shared" si="3"/>
        <v>0</v>
      </c>
      <c r="C53" s="323"/>
      <c r="D53" s="525">
        <f t="shared" si="0"/>
        <v>0</v>
      </c>
      <c r="E53" s="323"/>
      <c r="F53" s="675">
        <f t="shared" si="5"/>
        <v>0</v>
      </c>
      <c r="G53" s="676">
        <f t="shared" si="4"/>
        <v>0</v>
      </c>
      <c r="H53" s="323"/>
      <c r="I53" s="356">
        <f t="shared" si="1"/>
        <v>0</v>
      </c>
      <c r="J53" s="323"/>
      <c r="K53" s="363">
        <f t="shared" si="2"/>
        <v>0</v>
      </c>
      <c r="L53" s="677">
        <f t="shared" si="6"/>
        <v>0</v>
      </c>
    </row>
    <row r="54" spans="1:12">
      <c r="A54" s="321">
        <v>43983</v>
      </c>
      <c r="B54" s="418">
        <f t="shared" si="3"/>
        <v>0</v>
      </c>
      <c r="C54" s="323"/>
      <c r="D54" s="525">
        <f t="shared" si="0"/>
        <v>0</v>
      </c>
      <c r="E54" s="323"/>
      <c r="F54" s="675">
        <f t="shared" si="5"/>
        <v>0</v>
      </c>
      <c r="G54" s="676">
        <f t="shared" si="4"/>
        <v>0</v>
      </c>
      <c r="H54" s="323"/>
      <c r="I54" s="356">
        <f t="shared" si="1"/>
        <v>0</v>
      </c>
      <c r="J54" s="323"/>
      <c r="K54" s="363">
        <f t="shared" si="2"/>
        <v>0</v>
      </c>
      <c r="L54" s="677">
        <f t="shared" si="6"/>
        <v>0</v>
      </c>
    </row>
    <row r="55" spans="1:12">
      <c r="A55" s="321">
        <v>44013</v>
      </c>
      <c r="B55" s="418">
        <f t="shared" si="3"/>
        <v>0</v>
      </c>
      <c r="C55" s="323"/>
      <c r="D55" s="525">
        <f t="shared" si="0"/>
        <v>0</v>
      </c>
      <c r="E55" s="323"/>
      <c r="F55" s="675">
        <f t="shared" si="5"/>
        <v>0</v>
      </c>
      <c r="G55" s="676">
        <f t="shared" si="4"/>
        <v>0</v>
      </c>
      <c r="H55" s="323"/>
      <c r="I55" s="356">
        <f t="shared" si="1"/>
        <v>0</v>
      </c>
      <c r="J55" s="323"/>
      <c r="K55" s="363">
        <f t="shared" si="2"/>
        <v>0</v>
      </c>
      <c r="L55" s="677">
        <f t="shared" si="6"/>
        <v>0</v>
      </c>
    </row>
    <row r="56" spans="1:12">
      <c r="A56" s="321">
        <v>44044</v>
      </c>
      <c r="B56" s="418">
        <f t="shared" si="3"/>
        <v>0</v>
      </c>
      <c r="C56" s="323"/>
      <c r="D56" s="525">
        <f t="shared" si="0"/>
        <v>0</v>
      </c>
      <c r="E56" s="323"/>
      <c r="F56" s="675">
        <f t="shared" si="5"/>
        <v>0</v>
      </c>
      <c r="G56" s="676">
        <f t="shared" si="4"/>
        <v>0</v>
      </c>
      <c r="H56" s="323"/>
      <c r="I56" s="356">
        <f t="shared" si="1"/>
        <v>0</v>
      </c>
      <c r="J56" s="323"/>
      <c r="K56" s="363">
        <f t="shared" si="2"/>
        <v>0</v>
      </c>
      <c r="L56" s="677">
        <f t="shared" si="6"/>
        <v>0</v>
      </c>
    </row>
    <row r="57" spans="1:12">
      <c r="A57" s="321">
        <v>44075</v>
      </c>
      <c r="B57" s="418">
        <f t="shared" si="3"/>
        <v>0</v>
      </c>
      <c r="C57" s="323"/>
      <c r="D57" s="525">
        <f t="shared" si="0"/>
        <v>0</v>
      </c>
      <c r="E57" s="323"/>
      <c r="F57" s="675">
        <f t="shared" si="5"/>
        <v>0</v>
      </c>
      <c r="G57" s="676">
        <f t="shared" si="4"/>
        <v>0</v>
      </c>
      <c r="H57" s="323"/>
      <c r="I57" s="356">
        <f t="shared" si="1"/>
        <v>0</v>
      </c>
      <c r="J57" s="323"/>
      <c r="K57" s="363">
        <f t="shared" si="2"/>
        <v>0</v>
      </c>
      <c r="L57" s="677">
        <f t="shared" si="6"/>
        <v>0</v>
      </c>
    </row>
    <row r="58" spans="1:12">
      <c r="A58" s="321">
        <v>44105</v>
      </c>
      <c r="B58" s="418">
        <f t="shared" si="3"/>
        <v>0</v>
      </c>
      <c r="C58" s="323"/>
      <c r="D58" s="525">
        <f t="shared" si="0"/>
        <v>0</v>
      </c>
      <c r="E58" s="323"/>
      <c r="F58" s="675">
        <f t="shared" si="5"/>
        <v>0</v>
      </c>
      <c r="G58" s="676">
        <f t="shared" si="4"/>
        <v>0</v>
      </c>
      <c r="H58" s="323"/>
      <c r="I58" s="356">
        <f t="shared" si="1"/>
        <v>0</v>
      </c>
      <c r="J58" s="323"/>
      <c r="K58" s="363">
        <f t="shared" si="2"/>
        <v>0</v>
      </c>
      <c r="L58" s="677">
        <f t="shared" si="6"/>
        <v>0</v>
      </c>
    </row>
    <row r="59" spans="1:12">
      <c r="A59" s="321">
        <v>44136</v>
      </c>
      <c r="B59" s="418">
        <f t="shared" si="3"/>
        <v>0</v>
      </c>
      <c r="C59" s="323"/>
      <c r="D59" s="525">
        <f t="shared" si="0"/>
        <v>0</v>
      </c>
      <c r="E59" s="323"/>
      <c r="F59" s="675">
        <f t="shared" si="5"/>
        <v>0</v>
      </c>
      <c r="G59" s="676">
        <f t="shared" si="4"/>
        <v>0</v>
      </c>
      <c r="H59" s="323"/>
      <c r="I59" s="356">
        <f t="shared" si="1"/>
        <v>0</v>
      </c>
      <c r="J59" s="323"/>
      <c r="K59" s="363">
        <f t="shared" si="2"/>
        <v>0</v>
      </c>
      <c r="L59" s="677">
        <f t="shared" si="6"/>
        <v>0</v>
      </c>
    </row>
    <row r="60" spans="1:12">
      <c r="A60" s="321">
        <v>44166</v>
      </c>
      <c r="B60" s="418">
        <f t="shared" si="3"/>
        <v>0</v>
      </c>
      <c r="C60" s="323"/>
      <c r="D60" s="525">
        <f t="shared" si="0"/>
        <v>0</v>
      </c>
      <c r="E60" s="323"/>
      <c r="F60" s="675">
        <f t="shared" si="5"/>
        <v>0</v>
      </c>
      <c r="G60" s="676">
        <f t="shared" si="4"/>
        <v>0</v>
      </c>
      <c r="H60" s="323"/>
      <c r="I60" s="356">
        <f t="shared" si="1"/>
        <v>0</v>
      </c>
      <c r="J60" s="323"/>
      <c r="K60" s="363">
        <f t="shared" si="2"/>
        <v>0</v>
      </c>
      <c r="L60" s="677">
        <f t="shared" si="6"/>
        <v>0</v>
      </c>
    </row>
    <row r="61" spans="1:12">
      <c r="A61" s="321">
        <v>44197</v>
      </c>
      <c r="B61" s="418">
        <f t="shared" si="3"/>
        <v>0</v>
      </c>
      <c r="C61" s="323"/>
      <c r="D61" s="525">
        <f t="shared" si="0"/>
        <v>0</v>
      </c>
      <c r="E61" s="323"/>
      <c r="F61" s="675">
        <f t="shared" si="5"/>
        <v>0</v>
      </c>
      <c r="G61" s="676">
        <f t="shared" si="4"/>
        <v>0</v>
      </c>
      <c r="H61" s="323"/>
      <c r="I61" s="356">
        <f t="shared" si="1"/>
        <v>0</v>
      </c>
      <c r="J61" s="323"/>
      <c r="K61" s="363">
        <f t="shared" si="2"/>
        <v>0</v>
      </c>
      <c r="L61" s="677">
        <f t="shared" si="6"/>
        <v>0</v>
      </c>
    </row>
    <row r="62" spans="1:12">
      <c r="A62" s="321">
        <v>44228</v>
      </c>
      <c r="B62" s="418">
        <f t="shared" si="3"/>
        <v>0</v>
      </c>
      <c r="C62" s="323"/>
      <c r="D62" s="525">
        <f t="shared" si="0"/>
        <v>0</v>
      </c>
      <c r="E62" s="323"/>
      <c r="F62" s="675">
        <f t="shared" si="5"/>
        <v>0</v>
      </c>
      <c r="G62" s="676">
        <f t="shared" si="4"/>
        <v>0</v>
      </c>
      <c r="H62" s="323"/>
      <c r="I62" s="356">
        <f t="shared" si="1"/>
        <v>0</v>
      </c>
      <c r="J62" s="323"/>
      <c r="K62" s="363">
        <f t="shared" si="2"/>
        <v>0</v>
      </c>
      <c r="L62" s="677">
        <f t="shared" si="6"/>
        <v>0</v>
      </c>
    </row>
    <row r="63" spans="1:12">
      <c r="A63" s="321">
        <v>44256</v>
      </c>
      <c r="B63" s="418">
        <f t="shared" si="3"/>
        <v>0</v>
      </c>
      <c r="C63" s="323"/>
      <c r="D63" s="525">
        <f t="shared" si="0"/>
        <v>0</v>
      </c>
      <c r="E63" s="323"/>
      <c r="F63" s="675">
        <f t="shared" si="5"/>
        <v>0</v>
      </c>
      <c r="G63" s="676">
        <f t="shared" si="4"/>
        <v>0</v>
      </c>
      <c r="H63" s="323"/>
      <c r="I63" s="356">
        <f t="shared" si="1"/>
        <v>0</v>
      </c>
      <c r="J63" s="323"/>
      <c r="K63" s="363">
        <f t="shared" si="2"/>
        <v>0</v>
      </c>
      <c r="L63" s="677">
        <f t="shared" si="6"/>
        <v>0</v>
      </c>
    </row>
    <row r="64" spans="1:12">
      <c r="A64" s="321">
        <v>44287</v>
      </c>
      <c r="B64" s="418">
        <f t="shared" si="3"/>
        <v>0</v>
      </c>
      <c r="C64" s="323"/>
      <c r="D64" s="525">
        <f t="shared" si="0"/>
        <v>0</v>
      </c>
      <c r="E64" s="323"/>
      <c r="F64" s="675">
        <f t="shared" si="5"/>
        <v>0</v>
      </c>
      <c r="G64" s="676">
        <f t="shared" si="4"/>
        <v>0</v>
      </c>
      <c r="H64" s="323"/>
      <c r="I64" s="356">
        <f t="shared" si="1"/>
        <v>0</v>
      </c>
      <c r="J64" s="323"/>
      <c r="K64" s="363">
        <f t="shared" si="2"/>
        <v>0</v>
      </c>
      <c r="L64" s="677">
        <f t="shared" si="6"/>
        <v>0</v>
      </c>
    </row>
    <row r="65" spans="1:12">
      <c r="A65" s="321">
        <v>44317</v>
      </c>
      <c r="B65" s="418">
        <f t="shared" si="3"/>
        <v>0</v>
      </c>
      <c r="C65" s="323"/>
      <c r="D65" s="525">
        <f t="shared" si="0"/>
        <v>0</v>
      </c>
      <c r="E65" s="323"/>
      <c r="F65" s="675">
        <f t="shared" si="5"/>
        <v>0</v>
      </c>
      <c r="G65" s="676">
        <f t="shared" si="4"/>
        <v>0</v>
      </c>
      <c r="H65" s="323"/>
      <c r="I65" s="356">
        <f t="shared" si="1"/>
        <v>0</v>
      </c>
      <c r="J65" s="323"/>
      <c r="K65" s="363">
        <f t="shared" si="2"/>
        <v>0</v>
      </c>
      <c r="L65" s="677">
        <f t="shared" si="6"/>
        <v>0</v>
      </c>
    </row>
    <row r="66" spans="1:12" ht="12.75" customHeight="1">
      <c r="A66" s="321">
        <v>44348</v>
      </c>
      <c r="B66" s="418">
        <f t="shared" si="3"/>
        <v>0</v>
      </c>
      <c r="C66" s="323"/>
      <c r="D66" s="525">
        <f t="shared" si="0"/>
        <v>0</v>
      </c>
      <c r="E66" s="323"/>
      <c r="F66" s="675">
        <f t="shared" si="5"/>
        <v>0</v>
      </c>
      <c r="G66" s="676">
        <f t="shared" si="4"/>
        <v>0</v>
      </c>
      <c r="H66" s="323"/>
      <c r="I66" s="356">
        <f t="shared" si="1"/>
        <v>0</v>
      </c>
      <c r="J66" s="323"/>
      <c r="K66" s="363">
        <f t="shared" si="2"/>
        <v>0</v>
      </c>
      <c r="L66" s="677">
        <f t="shared" si="6"/>
        <v>0</v>
      </c>
    </row>
    <row r="67" spans="1:12" ht="13.5" customHeight="1">
      <c r="A67" s="321">
        <v>44378</v>
      </c>
      <c r="B67" s="418">
        <f t="shared" si="3"/>
        <v>0</v>
      </c>
      <c r="C67" s="323"/>
      <c r="D67" s="525">
        <f t="shared" si="0"/>
        <v>0</v>
      </c>
      <c r="E67" s="323"/>
      <c r="F67" s="675">
        <f t="shared" si="5"/>
        <v>0</v>
      </c>
      <c r="G67" s="676">
        <f t="shared" si="4"/>
        <v>0</v>
      </c>
      <c r="H67" s="323"/>
      <c r="I67" s="356">
        <f t="shared" si="1"/>
        <v>0</v>
      </c>
      <c r="J67" s="323"/>
      <c r="K67" s="363">
        <f t="shared" si="2"/>
        <v>0</v>
      </c>
      <c r="L67" s="677">
        <f t="shared" si="6"/>
        <v>0</v>
      </c>
    </row>
    <row r="68" spans="1:12">
      <c r="A68" s="321">
        <v>44409</v>
      </c>
      <c r="B68" s="418">
        <f t="shared" si="3"/>
        <v>0</v>
      </c>
      <c r="C68" s="323"/>
      <c r="D68" s="525">
        <f t="shared" ref="D68:D87" si="7">C68-B68</f>
        <v>0</v>
      </c>
      <c r="E68" s="323"/>
      <c r="F68" s="675">
        <f t="shared" si="5"/>
        <v>0</v>
      </c>
      <c r="G68" s="676">
        <f t="shared" si="4"/>
        <v>0</v>
      </c>
      <c r="H68" s="323"/>
      <c r="I68" s="356">
        <f t="shared" ref="I68:I87" si="8">H68-G68</f>
        <v>0</v>
      </c>
      <c r="J68" s="323"/>
      <c r="K68" s="363">
        <f t="shared" ref="K68:K87" si="9">I68-J68</f>
        <v>0</v>
      </c>
      <c r="L68" s="677">
        <f t="shared" si="6"/>
        <v>0</v>
      </c>
    </row>
    <row r="69" spans="1:12">
      <c r="A69" s="321">
        <v>44440</v>
      </c>
      <c r="B69" s="418">
        <f t="shared" ref="B69:B87" si="10">C68</f>
        <v>0</v>
      </c>
      <c r="C69" s="323"/>
      <c r="D69" s="525">
        <f t="shared" si="7"/>
        <v>0</v>
      </c>
      <c r="E69" s="323"/>
      <c r="F69" s="675">
        <f t="shared" si="5"/>
        <v>0</v>
      </c>
      <c r="G69" s="676">
        <f t="shared" ref="G69:G87" si="11">H68</f>
        <v>0</v>
      </c>
      <c r="H69" s="323"/>
      <c r="I69" s="356">
        <f t="shared" si="8"/>
        <v>0</v>
      </c>
      <c r="J69" s="323"/>
      <c r="K69" s="363">
        <f t="shared" si="9"/>
        <v>0</v>
      </c>
      <c r="L69" s="677">
        <f t="shared" si="6"/>
        <v>0</v>
      </c>
    </row>
    <row r="70" spans="1:12">
      <c r="A70" s="321">
        <v>44470</v>
      </c>
      <c r="B70" s="418">
        <f t="shared" si="10"/>
        <v>0</v>
      </c>
      <c r="C70" s="323"/>
      <c r="D70" s="525">
        <f t="shared" si="7"/>
        <v>0</v>
      </c>
      <c r="E70" s="323"/>
      <c r="F70" s="675">
        <f t="shared" si="5"/>
        <v>0</v>
      </c>
      <c r="G70" s="676">
        <f t="shared" si="11"/>
        <v>0</v>
      </c>
      <c r="H70" s="323"/>
      <c r="I70" s="356">
        <f t="shared" si="8"/>
        <v>0</v>
      </c>
      <c r="J70" s="323"/>
      <c r="K70" s="363">
        <f t="shared" si="9"/>
        <v>0</v>
      </c>
      <c r="L70" s="677">
        <f t="shared" si="6"/>
        <v>0</v>
      </c>
    </row>
    <row r="71" spans="1:12">
      <c r="A71" s="321">
        <v>44501</v>
      </c>
      <c r="B71" s="418">
        <f t="shared" si="10"/>
        <v>0</v>
      </c>
      <c r="C71" s="323"/>
      <c r="D71" s="525">
        <f t="shared" si="7"/>
        <v>0</v>
      </c>
      <c r="E71" s="323"/>
      <c r="F71" s="675">
        <f t="shared" si="5"/>
        <v>0</v>
      </c>
      <c r="G71" s="676">
        <f t="shared" si="11"/>
        <v>0</v>
      </c>
      <c r="H71" s="323"/>
      <c r="I71" s="356">
        <f t="shared" si="8"/>
        <v>0</v>
      </c>
      <c r="J71" s="323"/>
      <c r="K71" s="363">
        <f t="shared" si="9"/>
        <v>0</v>
      </c>
      <c r="L71" s="677">
        <f t="shared" si="6"/>
        <v>0</v>
      </c>
    </row>
    <row r="72" spans="1:12">
      <c r="A72" s="321">
        <v>44531</v>
      </c>
      <c r="B72" s="418">
        <f t="shared" si="10"/>
        <v>0</v>
      </c>
      <c r="C72" s="323"/>
      <c r="D72" s="525">
        <f t="shared" si="7"/>
        <v>0</v>
      </c>
      <c r="E72" s="323"/>
      <c r="F72" s="675">
        <f t="shared" ref="F72:F87" si="12">D72-E72</f>
        <v>0</v>
      </c>
      <c r="G72" s="676">
        <f t="shared" si="11"/>
        <v>0</v>
      </c>
      <c r="H72" s="323"/>
      <c r="I72" s="356">
        <f t="shared" si="8"/>
        <v>0</v>
      </c>
      <c r="J72" s="323"/>
      <c r="K72" s="363">
        <f t="shared" si="9"/>
        <v>0</v>
      </c>
      <c r="L72" s="677">
        <f t="shared" si="6"/>
        <v>0</v>
      </c>
    </row>
    <row r="73" spans="1:12">
      <c r="A73" s="321">
        <v>44562</v>
      </c>
      <c r="B73" s="418">
        <f t="shared" si="10"/>
        <v>0</v>
      </c>
      <c r="C73" s="323"/>
      <c r="D73" s="525">
        <f t="shared" si="7"/>
        <v>0</v>
      </c>
      <c r="E73" s="323"/>
      <c r="F73" s="675">
        <f t="shared" si="12"/>
        <v>0</v>
      </c>
      <c r="G73" s="676">
        <f t="shared" si="11"/>
        <v>0</v>
      </c>
      <c r="H73" s="323"/>
      <c r="I73" s="356">
        <f t="shared" si="8"/>
        <v>0</v>
      </c>
      <c r="J73" s="323"/>
      <c r="K73" s="363">
        <f t="shared" si="9"/>
        <v>0</v>
      </c>
      <c r="L73" s="677">
        <f t="shared" si="6"/>
        <v>0</v>
      </c>
    </row>
    <row r="74" spans="1:12">
      <c r="A74" s="321">
        <v>44593</v>
      </c>
      <c r="B74" s="418">
        <f t="shared" si="10"/>
        <v>0</v>
      </c>
      <c r="C74" s="323"/>
      <c r="D74" s="525">
        <f t="shared" si="7"/>
        <v>0</v>
      </c>
      <c r="E74" s="323"/>
      <c r="F74" s="675">
        <f t="shared" si="12"/>
        <v>0</v>
      </c>
      <c r="G74" s="676">
        <f t="shared" si="11"/>
        <v>0</v>
      </c>
      <c r="H74" s="323"/>
      <c r="I74" s="356">
        <f t="shared" si="8"/>
        <v>0</v>
      </c>
      <c r="J74" s="323"/>
      <c r="K74" s="363">
        <f t="shared" si="9"/>
        <v>0</v>
      </c>
      <c r="L74" s="677">
        <f t="shared" si="6"/>
        <v>0</v>
      </c>
    </row>
    <row r="75" spans="1:12">
      <c r="A75" s="321">
        <v>44621</v>
      </c>
      <c r="B75" s="418">
        <f t="shared" si="10"/>
        <v>0</v>
      </c>
      <c r="C75" s="323"/>
      <c r="D75" s="525">
        <f t="shared" si="7"/>
        <v>0</v>
      </c>
      <c r="E75" s="323"/>
      <c r="F75" s="675">
        <f t="shared" si="12"/>
        <v>0</v>
      </c>
      <c r="G75" s="676">
        <f t="shared" si="11"/>
        <v>0</v>
      </c>
      <c r="H75" s="323"/>
      <c r="I75" s="356">
        <f t="shared" si="8"/>
        <v>0</v>
      </c>
      <c r="J75" s="323"/>
      <c r="K75" s="363">
        <f t="shared" si="9"/>
        <v>0</v>
      </c>
      <c r="L75" s="677">
        <f t="shared" si="6"/>
        <v>0</v>
      </c>
    </row>
    <row r="76" spans="1:12">
      <c r="A76" s="321">
        <v>44652</v>
      </c>
      <c r="B76" s="418">
        <f t="shared" si="10"/>
        <v>0</v>
      </c>
      <c r="C76" s="323"/>
      <c r="D76" s="525">
        <f t="shared" si="7"/>
        <v>0</v>
      </c>
      <c r="E76" s="323"/>
      <c r="F76" s="675">
        <f t="shared" si="12"/>
        <v>0</v>
      </c>
      <c r="G76" s="676">
        <f t="shared" si="11"/>
        <v>0</v>
      </c>
      <c r="H76" s="323"/>
      <c r="I76" s="356">
        <f t="shared" si="8"/>
        <v>0</v>
      </c>
      <c r="J76" s="323"/>
      <c r="K76" s="363">
        <f t="shared" si="9"/>
        <v>0</v>
      </c>
      <c r="L76" s="677">
        <f t="shared" si="6"/>
        <v>0</v>
      </c>
    </row>
    <row r="77" spans="1:12">
      <c r="A77" s="321">
        <v>44682</v>
      </c>
      <c r="B77" s="418">
        <f t="shared" si="10"/>
        <v>0</v>
      </c>
      <c r="C77" s="323"/>
      <c r="D77" s="525">
        <f t="shared" si="7"/>
        <v>0</v>
      </c>
      <c r="E77" s="323"/>
      <c r="F77" s="675">
        <f t="shared" si="12"/>
        <v>0</v>
      </c>
      <c r="G77" s="676">
        <f t="shared" si="11"/>
        <v>0</v>
      </c>
      <c r="H77" s="323"/>
      <c r="I77" s="356">
        <f t="shared" si="8"/>
        <v>0</v>
      </c>
      <c r="J77" s="323"/>
      <c r="K77" s="363">
        <f t="shared" si="9"/>
        <v>0</v>
      </c>
      <c r="L77" s="677">
        <f t="shared" si="6"/>
        <v>0</v>
      </c>
    </row>
    <row r="78" spans="1:12">
      <c r="A78" s="321">
        <v>44713</v>
      </c>
      <c r="B78" s="418">
        <f t="shared" si="10"/>
        <v>0</v>
      </c>
      <c r="C78" s="323"/>
      <c r="D78" s="525">
        <f t="shared" si="7"/>
        <v>0</v>
      </c>
      <c r="E78" s="323"/>
      <c r="F78" s="675">
        <f t="shared" si="12"/>
        <v>0</v>
      </c>
      <c r="G78" s="676">
        <f t="shared" si="11"/>
        <v>0</v>
      </c>
      <c r="H78" s="323"/>
      <c r="I78" s="356">
        <f t="shared" si="8"/>
        <v>0</v>
      </c>
      <c r="J78" s="323"/>
      <c r="K78" s="363">
        <f t="shared" si="9"/>
        <v>0</v>
      </c>
      <c r="L78" s="677">
        <f t="shared" si="6"/>
        <v>0</v>
      </c>
    </row>
    <row r="79" spans="1:12">
      <c r="A79" s="321">
        <v>44743</v>
      </c>
      <c r="B79" s="418">
        <f t="shared" si="10"/>
        <v>0</v>
      </c>
      <c r="C79" s="323"/>
      <c r="D79" s="525">
        <f t="shared" si="7"/>
        <v>0</v>
      </c>
      <c r="E79" s="323"/>
      <c r="F79" s="675">
        <f t="shared" si="12"/>
        <v>0</v>
      </c>
      <c r="G79" s="676">
        <f t="shared" si="11"/>
        <v>0</v>
      </c>
      <c r="H79" s="323"/>
      <c r="I79" s="356">
        <f t="shared" si="8"/>
        <v>0</v>
      </c>
      <c r="J79" s="323"/>
      <c r="K79" s="363">
        <f t="shared" si="9"/>
        <v>0</v>
      </c>
      <c r="L79" s="677">
        <f t="shared" si="6"/>
        <v>0</v>
      </c>
    </row>
    <row r="80" spans="1:12">
      <c r="A80" s="321">
        <v>44774</v>
      </c>
      <c r="B80" s="418">
        <f t="shared" si="10"/>
        <v>0</v>
      </c>
      <c r="C80" s="323"/>
      <c r="D80" s="525">
        <f t="shared" si="7"/>
        <v>0</v>
      </c>
      <c r="E80" s="323"/>
      <c r="F80" s="675">
        <f t="shared" si="12"/>
        <v>0</v>
      </c>
      <c r="G80" s="676">
        <f t="shared" si="11"/>
        <v>0</v>
      </c>
      <c r="H80" s="323"/>
      <c r="I80" s="356">
        <f t="shared" si="8"/>
        <v>0</v>
      </c>
      <c r="J80" s="323"/>
      <c r="K80" s="363">
        <f t="shared" si="9"/>
        <v>0</v>
      </c>
      <c r="L80" s="677">
        <f t="shared" si="6"/>
        <v>0</v>
      </c>
    </row>
    <row r="81" spans="1:12">
      <c r="A81" s="321">
        <v>44805</v>
      </c>
      <c r="B81" s="418">
        <f t="shared" si="10"/>
        <v>0</v>
      </c>
      <c r="C81" s="323"/>
      <c r="D81" s="525">
        <f t="shared" si="7"/>
        <v>0</v>
      </c>
      <c r="E81" s="323"/>
      <c r="F81" s="675">
        <f t="shared" si="12"/>
        <v>0</v>
      </c>
      <c r="G81" s="676">
        <f t="shared" si="11"/>
        <v>0</v>
      </c>
      <c r="H81" s="323"/>
      <c r="I81" s="356">
        <f t="shared" si="8"/>
        <v>0</v>
      </c>
      <c r="J81" s="323"/>
      <c r="K81" s="363">
        <f t="shared" si="9"/>
        <v>0</v>
      </c>
      <c r="L81" s="677">
        <f t="shared" si="6"/>
        <v>0</v>
      </c>
    </row>
    <row r="82" spans="1:12">
      <c r="A82" s="321">
        <v>44835</v>
      </c>
      <c r="B82" s="418">
        <f t="shared" si="10"/>
        <v>0</v>
      </c>
      <c r="C82" s="323"/>
      <c r="D82" s="525">
        <f t="shared" si="7"/>
        <v>0</v>
      </c>
      <c r="E82" s="323"/>
      <c r="F82" s="675">
        <f t="shared" si="12"/>
        <v>0</v>
      </c>
      <c r="G82" s="676">
        <f t="shared" si="11"/>
        <v>0</v>
      </c>
      <c r="H82" s="323"/>
      <c r="I82" s="356">
        <f t="shared" si="8"/>
        <v>0</v>
      </c>
      <c r="J82" s="323"/>
      <c r="K82" s="363">
        <f t="shared" si="9"/>
        <v>0</v>
      </c>
      <c r="L82" s="677">
        <f t="shared" si="6"/>
        <v>0</v>
      </c>
    </row>
    <row r="83" spans="1:12">
      <c r="A83" s="321">
        <v>44866</v>
      </c>
      <c r="B83" s="418">
        <f t="shared" si="10"/>
        <v>0</v>
      </c>
      <c r="C83" s="323"/>
      <c r="D83" s="525">
        <f t="shared" si="7"/>
        <v>0</v>
      </c>
      <c r="E83" s="323"/>
      <c r="F83" s="675">
        <f t="shared" si="12"/>
        <v>0</v>
      </c>
      <c r="G83" s="676">
        <f t="shared" si="11"/>
        <v>0</v>
      </c>
      <c r="H83" s="323"/>
      <c r="I83" s="356">
        <f t="shared" si="8"/>
        <v>0</v>
      </c>
      <c r="J83" s="323"/>
      <c r="K83" s="363">
        <f t="shared" si="9"/>
        <v>0</v>
      </c>
      <c r="L83" s="677">
        <f t="shared" si="6"/>
        <v>0</v>
      </c>
    </row>
    <row r="84" spans="1:12">
      <c r="A84" s="321">
        <v>44896</v>
      </c>
      <c r="B84" s="418">
        <f t="shared" si="10"/>
        <v>0</v>
      </c>
      <c r="C84" s="323"/>
      <c r="D84" s="525">
        <f t="shared" si="7"/>
        <v>0</v>
      </c>
      <c r="E84" s="323"/>
      <c r="F84" s="675">
        <f t="shared" si="12"/>
        <v>0</v>
      </c>
      <c r="G84" s="676">
        <f t="shared" si="11"/>
        <v>0</v>
      </c>
      <c r="H84" s="323"/>
      <c r="I84" s="356">
        <f t="shared" si="8"/>
        <v>0</v>
      </c>
      <c r="J84" s="323"/>
      <c r="K84" s="363">
        <f t="shared" si="9"/>
        <v>0</v>
      </c>
      <c r="L84" s="677">
        <f t="shared" si="6"/>
        <v>0</v>
      </c>
    </row>
    <row r="85" spans="1:12">
      <c r="A85" s="321">
        <v>44927</v>
      </c>
      <c r="B85" s="418">
        <f t="shared" si="10"/>
        <v>0</v>
      </c>
      <c r="C85" s="323"/>
      <c r="D85" s="525">
        <f t="shared" si="7"/>
        <v>0</v>
      </c>
      <c r="E85" s="323"/>
      <c r="F85" s="675">
        <f t="shared" si="12"/>
        <v>0</v>
      </c>
      <c r="G85" s="676">
        <f t="shared" si="11"/>
        <v>0</v>
      </c>
      <c r="H85" s="323"/>
      <c r="I85" s="356">
        <f t="shared" si="8"/>
        <v>0</v>
      </c>
      <c r="J85" s="323"/>
      <c r="K85" s="363">
        <f t="shared" si="9"/>
        <v>0</v>
      </c>
      <c r="L85" s="677">
        <f t="shared" ref="L85:L87" si="13">I85+D85</f>
        <v>0</v>
      </c>
    </row>
    <row r="86" spans="1:12">
      <c r="A86" s="321">
        <v>44958</v>
      </c>
      <c r="B86" s="418">
        <f t="shared" si="10"/>
        <v>0</v>
      </c>
      <c r="C86" s="323"/>
      <c r="D86" s="525">
        <f t="shared" si="7"/>
        <v>0</v>
      </c>
      <c r="E86" s="323"/>
      <c r="F86" s="675">
        <f t="shared" si="12"/>
        <v>0</v>
      </c>
      <c r="G86" s="676">
        <f t="shared" si="11"/>
        <v>0</v>
      </c>
      <c r="H86" s="323"/>
      <c r="I86" s="356">
        <f t="shared" si="8"/>
        <v>0</v>
      </c>
      <c r="J86" s="323"/>
      <c r="K86" s="363">
        <f t="shared" si="9"/>
        <v>0</v>
      </c>
      <c r="L86" s="677">
        <f t="shared" si="13"/>
        <v>0</v>
      </c>
    </row>
    <row r="87" spans="1:12" ht="13.5" thickBot="1">
      <c r="A87" s="321">
        <v>44986</v>
      </c>
      <c r="B87" s="750">
        <f t="shared" si="10"/>
        <v>0</v>
      </c>
      <c r="C87" s="621"/>
      <c r="D87" s="751">
        <f t="shared" si="7"/>
        <v>0</v>
      </c>
      <c r="E87" s="621"/>
      <c r="F87" s="752">
        <f t="shared" si="12"/>
        <v>0</v>
      </c>
      <c r="G87" s="753">
        <f t="shared" si="11"/>
        <v>0</v>
      </c>
      <c r="H87" s="621"/>
      <c r="I87" s="754">
        <f t="shared" si="8"/>
        <v>0</v>
      </c>
      <c r="J87" s="621"/>
      <c r="K87" s="755">
        <f t="shared" si="9"/>
        <v>0</v>
      </c>
      <c r="L87" s="756">
        <f t="shared" si="13"/>
        <v>0</v>
      </c>
    </row>
    <row r="88" spans="1:12">
      <c r="B88" s="759"/>
      <c r="C88" s="364"/>
      <c r="D88" s="364"/>
      <c r="E88" s="364"/>
      <c r="F88" s="760"/>
      <c r="G88" s="759"/>
      <c r="H88" s="364"/>
      <c r="I88" s="364"/>
      <c r="J88" s="364"/>
      <c r="K88" s="364"/>
      <c r="L88" s="760"/>
    </row>
    <row r="89" spans="1:12">
      <c r="B89" s="761"/>
      <c r="C89" s="20"/>
      <c r="D89" s="20"/>
      <c r="E89" s="20"/>
      <c r="F89" s="762"/>
      <c r="G89" s="761"/>
      <c r="H89" s="20"/>
      <c r="I89" s="20"/>
      <c r="J89" s="20"/>
      <c r="K89" s="20"/>
      <c r="L89" s="762"/>
    </row>
    <row r="90" spans="1:12">
      <c r="B90" s="761"/>
      <c r="C90" s="20"/>
      <c r="D90" s="20"/>
      <c r="E90" s="20"/>
      <c r="F90" s="762"/>
      <c r="G90" s="761"/>
      <c r="H90" s="20"/>
      <c r="I90" s="20"/>
      <c r="J90" s="20"/>
      <c r="K90" s="20"/>
      <c r="L90" s="762"/>
    </row>
    <row r="91" spans="1:12">
      <c r="B91" s="761"/>
      <c r="C91" s="20"/>
      <c r="D91" s="20"/>
      <c r="E91" s="20"/>
      <c r="F91" s="762"/>
      <c r="G91" s="761"/>
      <c r="H91" s="20"/>
      <c r="I91" s="20"/>
      <c r="J91" s="20"/>
      <c r="K91" s="20"/>
      <c r="L91" s="762"/>
    </row>
    <row r="92" spans="1:12">
      <c r="B92" s="761"/>
      <c r="C92" s="20"/>
      <c r="D92" s="20"/>
      <c r="E92" s="20"/>
      <c r="F92" s="762"/>
      <c r="G92" s="761"/>
      <c r="H92" s="20"/>
      <c r="I92" s="20"/>
      <c r="J92" s="20"/>
      <c r="K92" s="20"/>
      <c r="L92" s="762"/>
    </row>
    <row r="93" spans="1:12">
      <c r="B93" s="761"/>
      <c r="C93" s="20"/>
      <c r="D93" s="20"/>
      <c r="E93" s="20"/>
      <c r="F93" s="762"/>
      <c r="G93" s="761"/>
      <c r="H93" s="20"/>
      <c r="I93" s="20"/>
      <c r="J93" s="20"/>
      <c r="K93" s="20"/>
      <c r="L93" s="762"/>
    </row>
    <row r="94" spans="1:12">
      <c r="B94" s="761"/>
      <c r="C94" s="20"/>
      <c r="D94" s="20"/>
      <c r="E94" s="20"/>
      <c r="F94" s="762"/>
      <c r="G94" s="761"/>
      <c r="H94" s="20"/>
      <c r="I94" s="20"/>
      <c r="J94" s="20"/>
      <c r="K94" s="20"/>
      <c r="L94" s="762"/>
    </row>
    <row r="95" spans="1:12">
      <c r="B95" s="761"/>
      <c r="C95" s="20"/>
      <c r="D95" s="20"/>
      <c r="E95" s="20"/>
      <c r="F95" s="762"/>
      <c r="G95" s="761"/>
      <c r="H95" s="20"/>
      <c r="I95" s="20"/>
      <c r="J95" s="20"/>
      <c r="K95" s="20"/>
      <c r="L95" s="762"/>
    </row>
    <row r="96" spans="1:12">
      <c r="B96" s="761"/>
      <c r="C96" s="20"/>
      <c r="D96" s="20"/>
      <c r="E96" s="20"/>
      <c r="F96" s="762"/>
      <c r="G96" s="761"/>
      <c r="H96" s="20"/>
      <c r="I96" s="20"/>
      <c r="J96" s="20"/>
      <c r="K96" s="20"/>
      <c r="L96" s="762"/>
    </row>
    <row r="97" spans="2:12">
      <c r="B97" s="761"/>
      <c r="C97" s="20"/>
      <c r="D97" s="20"/>
      <c r="E97" s="20"/>
      <c r="F97" s="762"/>
      <c r="G97" s="761"/>
      <c r="H97" s="20"/>
      <c r="I97" s="20"/>
      <c r="J97" s="20"/>
      <c r="K97" s="20"/>
      <c r="L97" s="762"/>
    </row>
    <row r="98" spans="2:12" ht="13.5" thickBot="1">
      <c r="B98" s="763"/>
      <c r="C98" s="332"/>
      <c r="D98" s="332"/>
      <c r="E98" s="332"/>
      <c r="F98" s="764"/>
      <c r="G98" s="763"/>
      <c r="H98" s="332"/>
      <c r="I98" s="332"/>
      <c r="J98" s="332"/>
      <c r="K98" s="332"/>
      <c r="L98" s="764"/>
    </row>
  </sheetData>
  <mergeCells count="1">
    <mergeCell ref="A1:D1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topLeftCell="A21" workbookViewId="0">
      <selection activeCell="H21" sqref="H21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897" t="s">
        <v>255</v>
      </c>
      <c r="B1" s="897"/>
      <c r="C1" s="897"/>
      <c r="D1" s="897"/>
      <c r="E1" s="897"/>
      <c r="F1" s="897"/>
      <c r="G1" s="897"/>
      <c r="H1" s="897"/>
      <c r="I1" s="897"/>
      <c r="J1" s="897"/>
    </row>
    <row r="2" spans="1:10" ht="19.5" thickBot="1">
      <c r="A2" s="906">
        <v>43891</v>
      </c>
      <c r="B2" s="907"/>
      <c r="C2" s="907"/>
      <c r="D2" s="907"/>
      <c r="E2" s="907"/>
      <c r="F2" s="907"/>
      <c r="G2" s="907"/>
      <c r="H2" s="907"/>
      <c r="I2" s="907"/>
      <c r="J2" s="907"/>
    </row>
    <row r="3" spans="1:10" ht="15.75" thickBot="1">
      <c r="A3" s="898" t="s">
        <v>7</v>
      </c>
      <c r="B3" s="900" t="s">
        <v>256</v>
      </c>
      <c r="C3" s="593"/>
      <c r="D3" s="902" t="s">
        <v>257</v>
      </c>
      <c r="E3" s="903"/>
      <c r="F3" s="904" t="s">
        <v>258</v>
      </c>
      <c r="G3" s="905"/>
      <c r="H3" s="903"/>
      <c r="I3" s="904" t="s">
        <v>259</v>
      </c>
      <c r="J3" s="903"/>
    </row>
    <row r="4" spans="1:10" ht="30.75" thickBot="1">
      <c r="A4" s="899"/>
      <c r="B4" s="901"/>
      <c r="C4" s="600" t="s">
        <v>304</v>
      </c>
      <c r="D4" s="526" t="s">
        <v>260</v>
      </c>
      <c r="E4" s="531" t="s">
        <v>3</v>
      </c>
      <c r="F4" s="526" t="s">
        <v>260</v>
      </c>
      <c r="G4" s="526" t="s">
        <v>261</v>
      </c>
      <c r="H4" s="526" t="s">
        <v>262</v>
      </c>
      <c r="I4" s="526" t="s">
        <v>17</v>
      </c>
      <c r="J4" s="526" t="s">
        <v>263</v>
      </c>
    </row>
    <row r="5" spans="1:10" ht="17.100000000000001" customHeight="1">
      <c r="A5" s="289">
        <v>43891</v>
      </c>
      <c r="B5" s="533">
        <f>Gen!C11</f>
        <v>0.57140000000000002</v>
      </c>
      <c r="C5" s="598">
        <f>Gen!AK11</f>
        <v>321.77</v>
      </c>
      <c r="D5" s="599">
        <f>Gen!T11</f>
        <v>2246.69</v>
      </c>
      <c r="E5" s="528">
        <f>Gen!D11</f>
        <v>32302.73</v>
      </c>
      <c r="F5" s="529">
        <f>'Water-Meter'!E6</f>
        <v>146</v>
      </c>
      <c r="G5" s="530">
        <f>'Water-Meter'!AN6</f>
        <v>206</v>
      </c>
      <c r="H5" s="528">
        <f>'Utility report '!AC6</f>
        <v>182</v>
      </c>
      <c r="I5" s="527">
        <f>'Kit report'!F4</f>
        <v>552.00000000004366</v>
      </c>
      <c r="J5" s="528">
        <f>'Kit report'!X4</f>
        <v>979.99999999992724</v>
      </c>
    </row>
    <row r="6" spans="1:10" ht="17.100000000000001" customHeight="1">
      <c r="A6" s="289">
        <v>43892</v>
      </c>
      <c r="B6" s="532">
        <f>Gen!C12</f>
        <v>0.2208</v>
      </c>
      <c r="C6" s="598">
        <f>Gen!AK12</f>
        <v>281.34000000000003</v>
      </c>
      <c r="D6" s="599">
        <f>Gen!T12</f>
        <v>2125.4799999999996</v>
      </c>
      <c r="E6" s="528">
        <f>Gen!D12</f>
        <v>47734.270000000004</v>
      </c>
      <c r="F6" s="529">
        <f>'Water-Meter'!E7</f>
        <v>164</v>
      </c>
      <c r="G6" s="530">
        <f>'Water-Meter'!AN7</f>
        <v>191</v>
      </c>
      <c r="H6" s="528">
        <f>'Utility report '!AC7</f>
        <v>184</v>
      </c>
      <c r="I6" s="527">
        <f>'Kit report'!F5</f>
        <v>527.99999999995634</v>
      </c>
      <c r="J6" s="528">
        <f>'Kit report'!X5</f>
        <v>939.99999999996362</v>
      </c>
    </row>
    <row r="7" spans="1:10" ht="17.100000000000001" customHeight="1">
      <c r="A7" s="289">
        <v>43893</v>
      </c>
      <c r="B7" s="532">
        <f>Gen!C13</f>
        <v>0.1429</v>
      </c>
      <c r="C7" s="598">
        <f>Gen!AK13</f>
        <v>55.1</v>
      </c>
      <c r="D7" s="599">
        <f>Gen!T13</f>
        <v>2081.2800000000002</v>
      </c>
      <c r="E7" s="528">
        <f>Gen!D13</f>
        <v>45327.450000000004</v>
      </c>
      <c r="F7" s="529">
        <f>'Water-Meter'!E8</f>
        <v>164</v>
      </c>
      <c r="G7" s="530">
        <f>'Water-Meter'!AN8</f>
        <v>221</v>
      </c>
      <c r="H7" s="528">
        <f>'Utility report '!AC8</f>
        <v>151</v>
      </c>
      <c r="I7" s="527">
        <f>'Kit report'!F6</f>
        <v>480</v>
      </c>
      <c r="J7" s="528">
        <f>'Kit report'!X6</f>
        <v>639.99999999996362</v>
      </c>
    </row>
    <row r="8" spans="1:10" ht="17.100000000000001" customHeight="1">
      <c r="A8" s="289">
        <v>43894</v>
      </c>
      <c r="B8" s="532">
        <f>Gen!C14</f>
        <v>1</v>
      </c>
      <c r="C8" s="598">
        <f>Gen!AK14</f>
        <v>149.94</v>
      </c>
      <c r="D8" s="599">
        <f>Gen!T14</f>
        <v>2421.29</v>
      </c>
      <c r="E8" s="528">
        <f>Gen!D14</f>
        <v>43191.070000000007</v>
      </c>
      <c r="F8" s="529">
        <f>'Water-Meter'!E9</f>
        <v>163</v>
      </c>
      <c r="G8" s="530">
        <f>'Water-Meter'!AN9</f>
        <v>203</v>
      </c>
      <c r="H8" s="528">
        <f>'Utility report '!AC9</f>
        <v>153</v>
      </c>
      <c r="I8" s="527">
        <f>'Kit report'!F7</f>
        <v>552.00000000004366</v>
      </c>
      <c r="J8" s="528">
        <f>'Kit report'!X7</f>
        <v>1660.0000000000364</v>
      </c>
    </row>
    <row r="9" spans="1:10" ht="17.100000000000001" customHeight="1">
      <c r="A9" s="289">
        <v>43895</v>
      </c>
      <c r="B9" s="532">
        <f>Gen!C15</f>
        <v>1</v>
      </c>
      <c r="C9" s="598">
        <f>Gen!AK15</f>
        <v>44.9</v>
      </c>
      <c r="D9" s="599">
        <f>Gen!T15</f>
        <v>2590.17</v>
      </c>
      <c r="E9" s="528">
        <f>Gen!D15</f>
        <v>40619.840000000004</v>
      </c>
      <c r="F9" s="529">
        <f>'Water-Meter'!E10</f>
        <v>177</v>
      </c>
      <c r="G9" s="530">
        <f>'Water-Meter'!AN10</f>
        <v>235</v>
      </c>
      <c r="H9" s="528">
        <f>'Utility report '!AC10</f>
        <v>159</v>
      </c>
      <c r="I9" s="527">
        <f>'Kit report'!F8</f>
        <v>563.99999999986903</v>
      </c>
      <c r="J9" s="528">
        <f>'Kit report'!X8</f>
        <v>1039.9999999999636</v>
      </c>
    </row>
    <row r="10" spans="1:10" ht="17.100000000000001" customHeight="1">
      <c r="A10" s="289">
        <v>43896</v>
      </c>
      <c r="B10" s="532">
        <f>Gen!C16</f>
        <v>1</v>
      </c>
      <c r="C10" s="598">
        <f>Gen!AK16</f>
        <v>75.03</v>
      </c>
      <c r="D10" s="599">
        <f>Gen!T16</f>
        <v>2694.18</v>
      </c>
      <c r="E10" s="528">
        <f>Gen!D16</f>
        <v>37984.770000000004</v>
      </c>
      <c r="F10" s="529">
        <f>'Water-Meter'!E11</f>
        <v>191</v>
      </c>
      <c r="G10" s="530">
        <f>'Water-Meter'!AN11</f>
        <v>224</v>
      </c>
      <c r="H10" s="528">
        <f>'Utility report '!AC11</f>
        <v>125</v>
      </c>
      <c r="I10" s="527">
        <f>'Kit report'!F9</f>
        <v>576.00000000013097</v>
      </c>
      <c r="J10" s="528">
        <f>'Kit report'!X9</f>
        <v>1160.0000000000364</v>
      </c>
    </row>
    <row r="11" spans="1:10" ht="17.100000000000001" customHeight="1">
      <c r="A11" s="289">
        <v>43897</v>
      </c>
      <c r="B11" s="532">
        <f>Gen!C17</f>
        <v>1</v>
      </c>
      <c r="C11" s="598">
        <f>Gen!AK17</f>
        <v>87.259999999999991</v>
      </c>
      <c r="D11" s="599">
        <f>Gen!T17</f>
        <v>2914.3</v>
      </c>
      <c r="E11" s="528">
        <f>Gen!D17</f>
        <v>50215.560000000005</v>
      </c>
      <c r="F11" s="529">
        <f>'Water-Meter'!E12</f>
        <v>168</v>
      </c>
      <c r="G11" s="530">
        <f>'Water-Meter'!AN12</f>
        <v>177</v>
      </c>
      <c r="H11" s="528">
        <f>'Utility report '!AC12</f>
        <v>155</v>
      </c>
      <c r="I11" s="527">
        <f>'Kit report'!F10</f>
        <v>707.99999999995634</v>
      </c>
      <c r="J11" s="528">
        <f>'Kit report'!X10</f>
        <v>1160.0000000000364</v>
      </c>
    </row>
    <row r="12" spans="1:10" ht="17.100000000000001" customHeight="1">
      <c r="A12" s="289">
        <v>43898</v>
      </c>
      <c r="B12" s="532">
        <f>Gen!C18</f>
        <v>0.59740000000000004</v>
      </c>
      <c r="C12" s="598">
        <f>Gen!AK18</f>
        <v>424.4</v>
      </c>
      <c r="D12" s="599">
        <f>Gen!T18</f>
        <v>2683.84</v>
      </c>
      <c r="E12" s="528">
        <f>Gen!D18</f>
        <v>47214.000000000007</v>
      </c>
      <c r="F12" s="529">
        <f>'Water-Meter'!E13</f>
        <v>131</v>
      </c>
      <c r="G12" s="530">
        <f>'Water-Meter'!AN13</f>
        <v>176</v>
      </c>
      <c r="H12" s="528">
        <f>'Utility report '!AC13</f>
        <v>183</v>
      </c>
      <c r="I12" s="527">
        <f>'Kit report'!F11</f>
        <v>563.99999999986903</v>
      </c>
      <c r="J12" s="528">
        <f>'Kit report'!X11</f>
        <v>1260.0000000000364</v>
      </c>
    </row>
    <row r="13" spans="1:10" ht="17.100000000000001" customHeight="1">
      <c r="A13" s="289">
        <v>43899</v>
      </c>
      <c r="B13" s="532">
        <f>Gen!C19</f>
        <v>0.57140000000000002</v>
      </c>
      <c r="C13" s="598">
        <f>Gen!AK19</f>
        <v>170.83999999999997</v>
      </c>
      <c r="D13" s="599">
        <f>Gen!T19</f>
        <v>2232.9499999999998</v>
      </c>
      <c r="E13" s="528">
        <f>Gen!D19</f>
        <v>44105.760000000009</v>
      </c>
      <c r="F13" s="529">
        <f>'Water-Meter'!E14</f>
        <v>117</v>
      </c>
      <c r="G13" s="530">
        <f>'Water-Meter'!AN14</f>
        <v>206</v>
      </c>
      <c r="H13" s="528">
        <f>'Utility report '!AC14</f>
        <v>183</v>
      </c>
      <c r="I13" s="527">
        <f>'Kit report'!F12</f>
        <v>528.00000000017462</v>
      </c>
      <c r="J13" s="528">
        <f>'Kit report'!X12</f>
        <v>1100</v>
      </c>
    </row>
    <row r="14" spans="1:10" ht="17.100000000000001" customHeight="1">
      <c r="A14" s="289">
        <v>43900</v>
      </c>
      <c r="B14" s="532">
        <f>Gen!C20</f>
        <v>0.58440000000000003</v>
      </c>
      <c r="C14" s="598">
        <f>Gen!AK20</f>
        <v>33.880000000000003</v>
      </c>
      <c r="D14" s="599">
        <f>Gen!T20</f>
        <v>2128.3999999999996</v>
      </c>
      <c r="E14" s="528">
        <f>Gen!D20</f>
        <v>41701.970000000008</v>
      </c>
      <c r="F14" s="529">
        <f>'Water-Meter'!E15</f>
        <v>129</v>
      </c>
      <c r="G14" s="530">
        <f>'Water-Meter'!AN15</f>
        <v>208</v>
      </c>
      <c r="H14" s="528">
        <f>'Utility report '!AC15</f>
        <v>21</v>
      </c>
      <c r="I14" s="527">
        <f>'Kit report'!F13</f>
        <v>551.99999999982538</v>
      </c>
      <c r="J14" s="528">
        <f>'Kit report'!X13</f>
        <v>719.99999999989086</v>
      </c>
    </row>
    <row r="15" spans="1:10" ht="17.100000000000001" customHeight="1">
      <c r="A15" s="289">
        <v>43901</v>
      </c>
      <c r="B15" s="532">
        <f>Gen!C21</f>
        <v>3.9E-2</v>
      </c>
      <c r="C15" s="598">
        <f>Gen!AK21</f>
        <v>204.76999999999998</v>
      </c>
      <c r="D15" s="599">
        <f>Gen!T21</f>
        <v>1707.85</v>
      </c>
      <c r="E15" s="528">
        <f>Gen!D21</f>
        <v>39539.69000000001</v>
      </c>
      <c r="F15" s="529">
        <f>'Water-Meter'!E16</f>
        <v>99</v>
      </c>
      <c r="G15" s="530">
        <f>'Water-Meter'!AN16</f>
        <v>185</v>
      </c>
      <c r="H15" s="528">
        <f>'Utility report '!AC16</f>
        <v>87</v>
      </c>
      <c r="I15" s="527">
        <f>'Kit report'!F14</f>
        <v>492.00000000004366</v>
      </c>
      <c r="J15" s="528">
        <f>'Kit report'!X14</f>
        <v>660.00000000003638</v>
      </c>
    </row>
    <row r="16" spans="1:10" ht="17.100000000000001" customHeight="1">
      <c r="A16" s="289">
        <v>43902</v>
      </c>
      <c r="B16" s="532">
        <f>Gen!C22</f>
        <v>3.9E-2</v>
      </c>
      <c r="C16" s="598">
        <f>Gen!AK22</f>
        <v>106.07</v>
      </c>
      <c r="D16" s="599">
        <f>Gen!T22</f>
        <v>2737.5</v>
      </c>
      <c r="E16" s="528">
        <f>Gen!D22</f>
        <v>37627.070000000007</v>
      </c>
      <c r="F16" s="529">
        <f>'Water-Meter'!E17</f>
        <v>77</v>
      </c>
      <c r="G16" s="530">
        <f>'Water-Meter'!AN17</f>
        <v>204</v>
      </c>
      <c r="H16" s="528">
        <f>'Utility report '!AC17</f>
        <v>161</v>
      </c>
      <c r="I16" s="527">
        <f>'Kit report'!F15</f>
        <v>516.00000000013097</v>
      </c>
      <c r="J16" s="528">
        <f>'Kit report'!X15</f>
        <v>400</v>
      </c>
    </row>
    <row r="17" spans="1:10" ht="17.100000000000001" customHeight="1">
      <c r="A17" s="289">
        <v>43903</v>
      </c>
      <c r="B17" s="532">
        <f>Gen!C23</f>
        <v>3.9E-2</v>
      </c>
      <c r="C17" s="598">
        <f>Gen!AK23</f>
        <v>233.75</v>
      </c>
      <c r="D17" s="599">
        <f>Gen!T23</f>
        <v>2538.1400000000003</v>
      </c>
      <c r="E17" s="528">
        <f>Gen!D23</f>
        <v>34783.500000000007</v>
      </c>
      <c r="F17" s="529">
        <f>'Water-Meter'!E18</f>
        <v>69</v>
      </c>
      <c r="G17" s="530">
        <f>'Water-Meter'!AN18</f>
        <v>204</v>
      </c>
      <c r="H17" s="528">
        <f>'Utility report '!AC18</f>
        <v>148</v>
      </c>
      <c r="I17" s="527">
        <f>'Kit report'!F16</f>
        <v>480</v>
      </c>
      <c r="J17" s="528">
        <f>'Kit report'!X16</f>
        <v>400</v>
      </c>
    </row>
    <row r="18" spans="1:10" ht="17.100000000000001" customHeight="1">
      <c r="A18" s="289">
        <v>43904</v>
      </c>
      <c r="B18" s="532">
        <f>Gen!C24</f>
        <v>2.86E-2</v>
      </c>
      <c r="C18" s="598">
        <f>Gen!AK24</f>
        <v>116.4</v>
      </c>
      <c r="D18" s="599">
        <f>Gen!T24</f>
        <v>1306.6799999999998</v>
      </c>
      <c r="E18" s="528">
        <f>Gen!D24</f>
        <v>32011.610000000008</v>
      </c>
      <c r="F18" s="529">
        <f>'Water-Meter'!E19</f>
        <v>72</v>
      </c>
      <c r="G18" s="530">
        <f>'Water-Meter'!AN19</f>
        <v>198</v>
      </c>
      <c r="H18" s="528">
        <f>'Utility report '!AC19</f>
        <v>99</v>
      </c>
      <c r="I18" s="527">
        <f>'Kit report'!F17</f>
        <v>347.99999999995634</v>
      </c>
      <c r="J18" s="528">
        <f>'Kit report'!X17</f>
        <v>539.99999999996362</v>
      </c>
    </row>
    <row r="19" spans="1:10" ht="17.100000000000001" customHeight="1">
      <c r="A19" s="289">
        <v>43905</v>
      </c>
      <c r="B19" s="532">
        <f>Gen!C25</f>
        <v>6.4899999999999999E-2</v>
      </c>
      <c r="C19" s="598">
        <f>Gen!AK25</f>
        <v>287.96000000000004</v>
      </c>
      <c r="D19" s="599">
        <f>Gen!T25</f>
        <v>1421.46</v>
      </c>
      <c r="E19" s="528">
        <f>Gen!D25</f>
        <v>30588.530000000006</v>
      </c>
      <c r="F19" s="529">
        <f>'Water-Meter'!E20</f>
        <v>92</v>
      </c>
      <c r="G19" s="530">
        <f>'Water-Meter'!AN20</f>
        <v>180</v>
      </c>
      <c r="H19" s="528">
        <f>'Utility report '!AC20</f>
        <v>47</v>
      </c>
      <c r="I19" s="527">
        <f>'Kit report'!F18</f>
        <v>275.99999999991269</v>
      </c>
      <c r="J19" s="528">
        <f>'Kit report'!X18</f>
        <v>440.00000000014552</v>
      </c>
    </row>
    <row r="20" spans="1:10" ht="17.100000000000001" customHeight="1">
      <c r="A20" s="289">
        <v>43906</v>
      </c>
      <c r="B20" s="532">
        <f>Gen!C26</f>
        <v>5.1900000000000002E-2</v>
      </c>
      <c r="C20" s="598">
        <f>Gen!AK26</f>
        <v>79.289999999999992</v>
      </c>
      <c r="D20" s="599">
        <f>Gen!T26</f>
        <v>1366.8200000000002</v>
      </c>
      <c r="E20" s="528">
        <f>Gen!D26</f>
        <v>28879.110000000008</v>
      </c>
      <c r="F20" s="529">
        <f>'Water-Meter'!E21</f>
        <v>90</v>
      </c>
      <c r="G20" s="530">
        <f>'Water-Meter'!AN21</f>
        <v>108</v>
      </c>
      <c r="H20" s="528">
        <f>'Utility report '!AC21</f>
        <v>58</v>
      </c>
      <c r="I20" s="527">
        <f>'Kit report'!F19</f>
        <v>252.00000000004366</v>
      </c>
      <c r="J20" s="528">
        <f>'Kit report'!X19</f>
        <v>559.99999999985448</v>
      </c>
    </row>
    <row r="21" spans="1:10" ht="15">
      <c r="A21" s="289">
        <v>43907</v>
      </c>
      <c r="B21" s="532">
        <f>Gen!C27</f>
        <v>2.5999999999999999E-2</v>
      </c>
      <c r="C21" s="598">
        <f>Gen!AK27</f>
        <v>50.42</v>
      </c>
      <c r="D21" s="599">
        <f>Gen!T27</f>
        <v>1215.42</v>
      </c>
      <c r="E21" s="528">
        <f>Gen!D27</f>
        <v>45433.000000000007</v>
      </c>
      <c r="F21" s="529">
        <f>'Water-Meter'!E22</f>
        <v>72</v>
      </c>
      <c r="G21" s="530">
        <f>'Water-Meter'!AN22</f>
        <v>76</v>
      </c>
      <c r="H21" s="528">
        <f>'Utility report '!AC22</f>
        <v>50</v>
      </c>
      <c r="I21" s="527">
        <f>'Kit report'!F20</f>
        <v>227.99999999995634</v>
      </c>
      <c r="J21" s="528">
        <f>'Kit report'!X20</f>
        <v>380.00000000010914</v>
      </c>
    </row>
    <row r="22" spans="1:10" ht="15" customHeight="1">
      <c r="A22" s="289">
        <v>43908</v>
      </c>
      <c r="B22" s="532">
        <f>Gen!C28</f>
        <v>5.1900000000000002E-2</v>
      </c>
      <c r="C22" s="598">
        <f>Gen!AK28</f>
        <v>156</v>
      </c>
      <c r="D22" s="599">
        <f>Gen!T28</f>
        <v>1192.8200000000002</v>
      </c>
      <c r="E22" s="528">
        <f>Gen!D28</f>
        <v>44167.16</v>
      </c>
      <c r="F22" s="529">
        <f>'Water-Meter'!E23</f>
        <v>57</v>
      </c>
      <c r="G22" s="530">
        <f>'Water-Meter'!AN23</f>
        <v>73</v>
      </c>
      <c r="H22" s="528">
        <f>'Utility report '!AC23</f>
        <v>52</v>
      </c>
      <c r="I22" s="527">
        <f>'Kit report'!F21</f>
        <v>240</v>
      </c>
      <c r="J22" s="528">
        <f>'Kit report'!X21</f>
        <v>260.00000000003638</v>
      </c>
    </row>
    <row r="23" spans="1:10" ht="15" customHeight="1">
      <c r="A23" s="289">
        <v>43909</v>
      </c>
      <c r="B23" s="532">
        <f>Gen!C29</f>
        <v>0.02</v>
      </c>
      <c r="C23" s="598">
        <f>Gen!AK29</f>
        <v>97.01</v>
      </c>
      <c r="D23" s="599">
        <f>Gen!T29</f>
        <v>1101.77</v>
      </c>
      <c r="E23" s="528">
        <f>Gen!D29</f>
        <v>42818.340000000004</v>
      </c>
      <c r="F23" s="529">
        <f>'Water-Meter'!E24</f>
        <v>72</v>
      </c>
      <c r="G23" s="530">
        <f>'Water-Meter'!AN24</f>
        <v>98</v>
      </c>
      <c r="H23" s="528">
        <f>'Utility report '!AC24</f>
        <v>53</v>
      </c>
      <c r="I23" s="527">
        <f>'Kit report'!F22</f>
        <v>227.99999999995634</v>
      </c>
      <c r="J23" s="528">
        <f>'Kit report'!X22</f>
        <v>279.99999999992724</v>
      </c>
    </row>
    <row r="24" spans="1:10" ht="15" customHeight="1">
      <c r="A24" s="289">
        <v>43910</v>
      </c>
      <c r="B24" s="532">
        <f>Gen!C30</f>
        <v>0.02</v>
      </c>
      <c r="C24" s="598">
        <f>Gen!AK30</f>
        <v>0</v>
      </c>
      <c r="D24" s="599">
        <f>Gen!T30</f>
        <v>1196.43</v>
      </c>
      <c r="E24" s="528">
        <f>Gen!D30</f>
        <v>41619.560000000005</v>
      </c>
      <c r="F24" s="529">
        <f>'Water-Meter'!E25</f>
        <v>65</v>
      </c>
      <c r="G24" s="530">
        <f>'Water-Meter'!AN25</f>
        <v>123</v>
      </c>
      <c r="H24" s="528">
        <f>'Utility report '!AC25</f>
        <v>177</v>
      </c>
      <c r="I24" s="527">
        <f>'Kit report'!F23</f>
        <v>252.00000000004366</v>
      </c>
      <c r="J24" s="528">
        <f>'Kit report'!X23</f>
        <v>320.00000000007276</v>
      </c>
    </row>
    <row r="25" spans="1:10" ht="15" customHeight="1">
      <c r="A25" s="289">
        <v>43911</v>
      </c>
      <c r="B25" s="532">
        <f>Gen!C31</f>
        <v>0</v>
      </c>
      <c r="C25" s="598">
        <f>Gen!AK31</f>
        <v>147.13999999999999</v>
      </c>
      <c r="D25" s="599">
        <f>Gen!T31</f>
        <v>1103.08</v>
      </c>
      <c r="E25" s="528">
        <f>Gen!D31</f>
        <v>40423.130000000005</v>
      </c>
      <c r="F25" s="529">
        <f>'Water-Meter'!E26</f>
        <v>67</v>
      </c>
      <c r="G25" s="530">
        <f>'Water-Meter'!AN26</f>
        <v>181</v>
      </c>
      <c r="H25" s="528">
        <f>'Utility report '!AC26</f>
        <v>111</v>
      </c>
      <c r="I25" s="527">
        <f>'Kit report'!F24</f>
        <v>240</v>
      </c>
      <c r="J25" s="528">
        <f>'Kit report'!X24</f>
        <v>239.99999999996362</v>
      </c>
    </row>
    <row r="26" spans="1:10" ht="15" customHeight="1">
      <c r="A26" s="289">
        <v>43912</v>
      </c>
      <c r="B26" s="532">
        <f>Gen!C32</f>
        <v>0</v>
      </c>
      <c r="C26" s="598">
        <f>Gen!AK32</f>
        <v>0</v>
      </c>
      <c r="D26" s="599">
        <f>Gen!T32</f>
        <v>927.75</v>
      </c>
      <c r="E26" s="528">
        <f>Gen!D32</f>
        <v>39172.910000000003</v>
      </c>
      <c r="F26" s="529">
        <f>'Water-Meter'!E27</f>
        <v>73</v>
      </c>
      <c r="G26" s="530">
        <f>'Water-Meter'!AN27</f>
        <v>172</v>
      </c>
      <c r="H26" s="528">
        <f>'Utility report '!AC27</f>
        <v>105</v>
      </c>
      <c r="I26" s="527">
        <f>'Kit report'!F25</f>
        <v>167.99999999995634</v>
      </c>
      <c r="J26" s="528">
        <f>'Kit report'!X25</f>
        <v>79.99999999992724</v>
      </c>
    </row>
    <row r="27" spans="1:10" ht="15" customHeight="1">
      <c r="A27" s="289">
        <v>43913</v>
      </c>
      <c r="B27" s="532">
        <f>Gen!C33</f>
        <v>0</v>
      </c>
      <c r="C27" s="598">
        <f>Gen!AK33</f>
        <v>0</v>
      </c>
      <c r="D27" s="599">
        <f>Gen!T33</f>
        <v>1128.43</v>
      </c>
      <c r="E27" s="528">
        <f>Gen!D33</f>
        <v>50245.16</v>
      </c>
      <c r="F27" s="529">
        <f>'Water-Meter'!E28</f>
        <v>67</v>
      </c>
      <c r="G27" s="530">
        <f>'Water-Meter'!AN28</f>
        <v>179</v>
      </c>
      <c r="H27" s="528">
        <f>'Utility report '!AC28</f>
        <v>37</v>
      </c>
      <c r="I27" s="527">
        <f>'Kit report'!F26</f>
        <v>216.00000000013097</v>
      </c>
      <c r="J27" s="528">
        <f>'Kit report'!X26</f>
        <v>160.00000000003638</v>
      </c>
    </row>
    <row r="28" spans="1:10" ht="15" customHeight="1">
      <c r="A28" s="289">
        <v>43914</v>
      </c>
      <c r="B28" s="532">
        <v>9.0999999999999998E-2</v>
      </c>
      <c r="C28" s="598">
        <f>Gen!AK34</f>
        <v>249.02</v>
      </c>
      <c r="D28" s="599">
        <f>Gen!T34</f>
        <v>968.5200000000001</v>
      </c>
      <c r="E28" s="528">
        <f>Gen!D34</f>
        <v>49116.73</v>
      </c>
      <c r="F28" s="529">
        <f>'Water-Meter'!E29</f>
        <v>73</v>
      </c>
      <c r="G28" s="530">
        <f>'Water-Meter'!AN29</f>
        <v>165</v>
      </c>
      <c r="H28" s="528">
        <f>'Utility report '!AC29</f>
        <v>53</v>
      </c>
      <c r="I28" s="527">
        <f>'Kit report'!F27</f>
        <v>192.00000000004366</v>
      </c>
      <c r="J28" s="528">
        <f>'Kit report'!X27</f>
        <v>160.00000000003638</v>
      </c>
    </row>
    <row r="29" spans="1:10" ht="15" customHeight="1">
      <c r="A29" s="289">
        <v>43915</v>
      </c>
      <c r="B29" s="532">
        <f>Gen!C35</f>
        <v>0.02</v>
      </c>
      <c r="C29" s="598">
        <f>Gen!AK35</f>
        <v>14.1</v>
      </c>
      <c r="D29" s="599">
        <f>Gen!T35</f>
        <v>1052.98</v>
      </c>
      <c r="E29" s="528">
        <f>Gen!D35</f>
        <v>47899.19</v>
      </c>
      <c r="F29" s="529">
        <f>'Water-Meter'!E30</f>
        <v>60</v>
      </c>
      <c r="G29" s="530">
        <f>'Water-Meter'!AN30</f>
        <v>78</v>
      </c>
      <c r="H29" s="528">
        <f>'Utility report '!AC30</f>
        <v>61</v>
      </c>
      <c r="I29" s="527">
        <f>'Kit report'!F28</f>
        <v>191.99999999982538</v>
      </c>
      <c r="J29" s="528">
        <f>'Kit report'!X28</f>
        <v>79.99999999992724</v>
      </c>
    </row>
    <row r="30" spans="1:10" ht="15" customHeight="1">
      <c r="A30" s="289">
        <v>43916</v>
      </c>
      <c r="B30" s="532">
        <f>Gen!C36</f>
        <v>0.02</v>
      </c>
      <c r="C30" s="598">
        <f>Gen!AK36</f>
        <v>34.57</v>
      </c>
      <c r="D30" s="599">
        <f>Gen!T36</f>
        <v>1062.08</v>
      </c>
      <c r="E30" s="528">
        <f>Gen!D36</f>
        <v>46832.11</v>
      </c>
      <c r="F30" s="529">
        <f>'Water-Meter'!E31</f>
        <v>50</v>
      </c>
      <c r="G30" s="530">
        <f>'Water-Meter'!AN31</f>
        <v>86</v>
      </c>
      <c r="H30" s="528">
        <f>'Utility report '!AC31</f>
        <v>46</v>
      </c>
      <c r="I30" s="527">
        <f>'Kit report'!F29</f>
        <v>168.00000000017462</v>
      </c>
      <c r="J30" s="528">
        <f>'Kit report'!X29</f>
        <v>160.00000000003638</v>
      </c>
    </row>
    <row r="31" spans="1:10" ht="15" customHeight="1">
      <c r="A31" s="289">
        <v>43917</v>
      </c>
      <c r="B31" s="532">
        <f>Gen!C37</f>
        <v>0</v>
      </c>
      <c r="C31" s="598">
        <f>Gen!AK37</f>
        <v>144.12</v>
      </c>
      <c r="D31" s="599">
        <f>Gen!T37</f>
        <v>958.21</v>
      </c>
      <c r="E31" s="528">
        <f>Gen!D37</f>
        <v>45735.46</v>
      </c>
      <c r="F31" s="529">
        <f>'Water-Meter'!E32</f>
        <v>96</v>
      </c>
      <c r="G31" s="530">
        <f>'Water-Meter'!AN32</f>
        <v>89</v>
      </c>
      <c r="H31" s="528">
        <f>'Utility report '!AC32</f>
        <v>52</v>
      </c>
      <c r="I31" s="527">
        <f>'Kit report'!F30</f>
        <v>180</v>
      </c>
      <c r="J31" s="528">
        <f>'Kit report'!X30</f>
        <v>200</v>
      </c>
    </row>
    <row r="32" spans="1:10" ht="15" customHeight="1">
      <c r="A32" s="289">
        <v>43918</v>
      </c>
      <c r="B32" s="532">
        <f>Gen!C38</f>
        <v>0</v>
      </c>
      <c r="C32" s="598">
        <f>Gen!AK38</f>
        <v>78.2</v>
      </c>
      <c r="D32" s="599">
        <f>Gen!T38</f>
        <v>811.26</v>
      </c>
      <c r="E32" s="528">
        <f>Gen!D38</f>
        <v>44633.13</v>
      </c>
      <c r="F32" s="529">
        <f>'Water-Meter'!E33</f>
        <v>32</v>
      </c>
      <c r="G32" s="530">
        <f>'Water-Meter'!AN33</f>
        <v>87</v>
      </c>
      <c r="H32" s="528">
        <f>'Utility report '!AC33</f>
        <v>135</v>
      </c>
      <c r="I32" s="527">
        <f>'Kit report'!F31</f>
        <v>143.99999999986903</v>
      </c>
      <c r="J32" s="528">
        <f>'Kit report'!X31</f>
        <v>160.00000000003638</v>
      </c>
    </row>
    <row r="33" spans="1:10" ht="15" customHeight="1">
      <c r="A33" s="289">
        <v>43919</v>
      </c>
      <c r="B33" s="532">
        <f>Gen!C39</f>
        <v>0</v>
      </c>
      <c r="C33" s="598">
        <f>Gen!AK39</f>
        <v>0</v>
      </c>
      <c r="D33" s="599">
        <f>Gen!T39</f>
        <v>839.53</v>
      </c>
      <c r="E33" s="528">
        <f>Gen!D39</f>
        <v>43743.67</v>
      </c>
      <c r="F33" s="529">
        <f>'Water-Meter'!E34</f>
        <v>38</v>
      </c>
      <c r="G33" s="530">
        <f>'Water-Meter'!AN34</f>
        <v>87</v>
      </c>
      <c r="H33" s="528">
        <f>'Utility report '!AC34</f>
        <v>34</v>
      </c>
      <c r="I33" s="527">
        <f>'Kit report'!F32</f>
        <v>167.99999999995634</v>
      </c>
      <c r="J33" s="528">
        <f>'Kit report'!X32</f>
        <v>119.99999999989086</v>
      </c>
    </row>
    <row r="34" spans="1:10" ht="15" customHeight="1">
      <c r="A34" s="289">
        <v>43920</v>
      </c>
      <c r="B34" s="596">
        <f>Gen!C40</f>
        <v>0</v>
      </c>
      <c r="C34" s="598">
        <f>Gen!AK40</f>
        <v>0</v>
      </c>
      <c r="D34" s="599">
        <f>Gen!T40</f>
        <v>935.36</v>
      </c>
      <c r="E34" s="597">
        <f>Gen!D40</f>
        <v>42904.14</v>
      </c>
      <c r="F34" s="529">
        <f>'Water-Meter'!E35</f>
        <v>46</v>
      </c>
      <c r="G34" s="530">
        <f>'Water-Meter'!AN35</f>
        <v>73</v>
      </c>
      <c r="H34" s="528">
        <f>'Utility report '!AC35</f>
        <v>50</v>
      </c>
      <c r="I34" s="527">
        <f>'Kit report'!F33</f>
        <v>156.00000000013097</v>
      </c>
      <c r="J34" s="528">
        <f>'Kit report'!X33</f>
        <v>220.00000000007276</v>
      </c>
    </row>
    <row r="35" spans="1:10" ht="15" customHeight="1">
      <c r="A35" s="289">
        <v>43921</v>
      </c>
      <c r="B35" s="532">
        <f>Gen!C41</f>
        <v>0</v>
      </c>
      <c r="C35" s="598">
        <f>Gen!AK41</f>
        <v>0</v>
      </c>
      <c r="D35" s="599">
        <f>Gen!T41</f>
        <v>919.91</v>
      </c>
      <c r="E35" s="530">
        <f>Gen!D41</f>
        <v>41968.78</v>
      </c>
      <c r="F35" s="529">
        <f>'Water-Meter'!E36</f>
        <v>64</v>
      </c>
      <c r="G35" s="530">
        <f>'Water-Meter'!AN36</f>
        <v>75</v>
      </c>
      <c r="H35" s="528">
        <f>'Utility report '!AC36</f>
        <v>144</v>
      </c>
      <c r="I35" s="527">
        <f>'Kit report'!F34</f>
        <v>180</v>
      </c>
      <c r="J35" s="528">
        <f>'Kit report'!X34</f>
        <v>139.99999999996362</v>
      </c>
    </row>
    <row r="36" spans="1:10" ht="15">
      <c r="A36" s="289">
        <v>43922</v>
      </c>
      <c r="B36" s="18"/>
      <c r="C36" s="598">
        <f>Gen!AK42</f>
        <v>0</v>
      </c>
      <c r="D36" s="599">
        <f>Gen!T42</f>
        <v>0</v>
      </c>
      <c r="E36" s="530">
        <f>Gen!D42</f>
        <v>41048.869999999995</v>
      </c>
      <c r="F36" s="529" t="str">
        <f>'Water-Meter'!E37</f>
        <v>0</v>
      </c>
      <c r="G36" s="530">
        <f>'Water-Meter'!AN37</f>
        <v>1742</v>
      </c>
      <c r="H36" s="528">
        <f>'Utility report '!AC37</f>
        <v>-30249</v>
      </c>
      <c r="I36" s="527">
        <f>'Kit report'!F35</f>
        <v>1560</v>
      </c>
      <c r="J36" s="528">
        <f>'Kit report'!X35</f>
        <v>-1560140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michael.wendo</cp:lastModifiedBy>
  <cp:lastPrinted>2019-07-20T21:13:12Z</cp:lastPrinted>
  <dcterms:created xsi:type="dcterms:W3CDTF">2009-01-25T09:02:38Z</dcterms:created>
  <dcterms:modified xsi:type="dcterms:W3CDTF">2020-04-01T09:01:22Z</dcterms:modified>
</cp:coreProperties>
</file>