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esktop\"/>
    </mc:Choice>
  </mc:AlternateContent>
  <bookViews>
    <workbookView xWindow="0" yWindow="0" windowWidth="21570" windowHeight="8145" activeTab="1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24" l="1"/>
  <c r="F5" i="24"/>
  <c r="E4" i="26" s="1"/>
  <c r="F6" i="24"/>
  <c r="F7" i="24"/>
  <c r="F8" i="24"/>
  <c r="F9" i="24"/>
  <c r="E8" i="26" s="1"/>
  <c r="F10" i="24"/>
  <c r="F11" i="24"/>
  <c r="F12" i="24"/>
  <c r="F13" i="24"/>
  <c r="E12" i="26" s="1"/>
  <c r="F14" i="24"/>
  <c r="F15" i="24"/>
  <c r="F16" i="24"/>
  <c r="F17" i="24"/>
  <c r="E16" i="26" s="1"/>
  <c r="F18" i="24"/>
  <c r="F19" i="24"/>
  <c r="F20" i="24"/>
  <c r="F21" i="24"/>
  <c r="E20" i="26" s="1"/>
  <c r="F22" i="24"/>
  <c r="F23" i="24"/>
  <c r="F24" i="24"/>
  <c r="F25" i="24"/>
  <c r="E24" i="26" s="1"/>
  <c r="F26" i="24"/>
  <c r="F27" i="24"/>
  <c r="F28" i="24"/>
  <c r="F29" i="24"/>
  <c r="E28" i="26" s="1"/>
  <c r="F30" i="24"/>
  <c r="F31" i="24"/>
  <c r="F32" i="24"/>
  <c r="F33" i="24"/>
  <c r="F34" i="24"/>
  <c r="F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" i="24"/>
  <c r="E2" i="26"/>
  <c r="E3" i="26"/>
  <c r="E5" i="26"/>
  <c r="E6" i="26"/>
  <c r="E7" i="26"/>
  <c r="E9" i="26"/>
  <c r="E10" i="26"/>
  <c r="E11" i="26"/>
  <c r="E13" i="26"/>
  <c r="E14" i="26"/>
  <c r="E15" i="26"/>
  <c r="E17" i="26"/>
  <c r="E18" i="26"/>
  <c r="E19" i="26"/>
  <c r="E21" i="26"/>
  <c r="E22" i="26"/>
  <c r="E23" i="26"/>
  <c r="E25" i="26"/>
  <c r="E26" i="26"/>
  <c r="E27" i="26"/>
  <c r="E30" i="26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D72" i="20"/>
  <c r="B72" i="20"/>
  <c r="E71" i="20"/>
  <c r="G71" i="20" s="1"/>
  <c r="D71" i="20"/>
  <c r="B71" i="20"/>
  <c r="E70" i="20"/>
  <c r="G70" i="20" s="1"/>
  <c r="B70" i="20"/>
  <c r="D70" i="20" s="1"/>
  <c r="E69" i="20"/>
  <c r="G69" i="20" s="1"/>
  <c r="B69" i="20"/>
  <c r="D69" i="20" s="1"/>
  <c r="E68" i="20"/>
  <c r="G68" i="20" s="1"/>
  <c r="D68" i="20"/>
  <c r="B68" i="20"/>
  <c r="E67" i="20"/>
  <c r="G67" i="20" s="1"/>
  <c r="D67" i="20"/>
  <c r="B67" i="20"/>
  <c r="E66" i="20"/>
  <c r="G66" i="20" s="1"/>
  <c r="B66" i="20"/>
  <c r="D66" i="20" s="1"/>
  <c r="E65" i="20"/>
  <c r="G65" i="20" s="1"/>
  <c r="B65" i="20"/>
  <c r="D65" i="20" s="1"/>
  <c r="E64" i="20"/>
  <c r="G64" i="20" s="1"/>
  <c r="D64" i="20"/>
  <c r="B64" i="20"/>
  <c r="E63" i="20"/>
  <c r="G63" i="20" s="1"/>
  <c r="D63" i="20"/>
  <c r="B63" i="20"/>
  <c r="E62" i="20"/>
  <c r="G62" i="20" s="1"/>
  <c r="B62" i="20"/>
  <c r="D62" i="20" s="1"/>
  <c r="E61" i="20"/>
  <c r="G61" i="20" s="1"/>
  <c r="B61" i="20"/>
  <c r="D61" i="20" s="1"/>
  <c r="E60" i="20"/>
  <c r="G60" i="20" s="1"/>
  <c r="D60" i="20"/>
  <c r="B60" i="20"/>
  <c r="E59" i="20"/>
  <c r="G59" i="20" s="1"/>
  <c r="D59" i="20"/>
  <c r="B59" i="20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D55" i="20"/>
  <c r="B55" i="20"/>
  <c r="E54" i="20"/>
  <c r="G54" i="20" s="1"/>
  <c r="B54" i="20"/>
  <c r="D54" i="20" s="1"/>
  <c r="E53" i="20"/>
  <c r="G53" i="20" s="1"/>
  <c r="B53" i="20"/>
  <c r="D53" i="20" s="1"/>
  <c r="E52" i="20"/>
  <c r="G52" i="20" s="1"/>
  <c r="D52" i="20"/>
  <c r="B52" i="20"/>
  <c r="E51" i="20"/>
  <c r="G51" i="20" s="1"/>
  <c r="D51" i="20"/>
  <c r="B51" i="20"/>
  <c r="E50" i="20"/>
  <c r="G50" i="20" s="1"/>
  <c r="B50" i="20"/>
  <c r="D50" i="20" s="1"/>
  <c r="E49" i="20"/>
  <c r="G49" i="20" s="1"/>
  <c r="B49" i="20"/>
  <c r="D49" i="20" s="1"/>
  <c r="E48" i="20"/>
  <c r="G48" i="20" s="1"/>
  <c r="D48" i="20"/>
  <c r="B48" i="20"/>
  <c r="E47" i="20"/>
  <c r="G47" i="20" s="1"/>
  <c r="D47" i="20"/>
  <c r="B47" i="20"/>
  <c r="E46" i="20"/>
  <c r="G46" i="20" s="1"/>
  <c r="B46" i="20"/>
  <c r="D46" i="20" s="1"/>
  <c r="E45" i="20"/>
  <c r="G45" i="20" s="1"/>
  <c r="B45" i="20"/>
  <c r="D45" i="20" s="1"/>
  <c r="E44" i="20"/>
  <c r="G44" i="20" s="1"/>
  <c r="D44" i="20"/>
  <c r="B44" i="20"/>
  <c r="E43" i="20"/>
  <c r="G43" i="20" s="1"/>
  <c r="D43" i="20"/>
  <c r="B43" i="20"/>
  <c r="E42" i="20"/>
  <c r="G42" i="20" s="1"/>
  <c r="B42" i="20"/>
  <c r="D42" i="20" s="1"/>
  <c r="E41" i="20"/>
  <c r="G41" i="20" s="1"/>
  <c r="B41" i="20"/>
  <c r="D41" i="20" s="1"/>
  <c r="E40" i="20"/>
  <c r="G40" i="20" s="1"/>
  <c r="D40" i="20"/>
  <c r="B40" i="20"/>
  <c r="E39" i="20"/>
  <c r="G39" i="20" s="1"/>
  <c r="B39" i="20"/>
  <c r="D39" i="20" s="1"/>
  <c r="E38" i="20"/>
  <c r="G38" i="20" s="1"/>
  <c r="B38" i="20"/>
  <c r="D38" i="20" s="1"/>
  <c r="E37" i="20"/>
  <c r="G37" i="20" s="1"/>
  <c r="D37" i="20"/>
  <c r="B37" i="20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D33" i="20"/>
  <c r="B33" i="20"/>
  <c r="E32" i="20"/>
  <c r="G32" i="20" s="1"/>
  <c r="D32" i="20"/>
  <c r="B32" i="20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D25" i="20"/>
  <c r="B25" i="20"/>
  <c r="E24" i="20"/>
  <c r="G24" i="20" s="1"/>
  <c r="D24" i="20"/>
  <c r="B24" i="20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D17" i="20"/>
  <c r="B17" i="20"/>
  <c r="E16" i="20"/>
  <c r="G16" i="20" s="1"/>
  <c r="D16" i="20"/>
  <c r="B16" i="20"/>
  <c r="E15" i="20"/>
  <c r="G15" i="20" s="1"/>
  <c r="B15" i="20"/>
  <c r="D15" i="20" s="1"/>
  <c r="E14" i="20"/>
  <c r="G14" i="20" s="1"/>
  <c r="B14" i="20"/>
  <c r="D14" i="20" s="1"/>
  <c r="E13" i="20"/>
  <c r="G13" i="20" s="1"/>
  <c r="D13" i="20"/>
  <c r="B13" i="20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D9" i="20"/>
  <c r="B9" i="20"/>
  <c r="E8" i="20"/>
  <c r="G8" i="20" s="1"/>
  <c r="D8" i="20"/>
  <c r="B8" i="20"/>
  <c r="E7" i="20"/>
  <c r="G7" i="20" s="1"/>
  <c r="B7" i="20"/>
  <c r="D7" i="20" s="1"/>
  <c r="E6" i="20"/>
  <c r="G6" i="20" s="1"/>
  <c r="B6" i="20"/>
  <c r="D6" i="20" s="1"/>
  <c r="E5" i="20"/>
  <c r="G5" i="20" s="1"/>
  <c r="D5" i="20"/>
  <c r="B5" i="20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D72" i="22"/>
  <c r="F72" i="22" s="1"/>
  <c r="B72" i="22"/>
  <c r="I71" i="22"/>
  <c r="K71" i="22" s="1"/>
  <c r="G71" i="22"/>
  <c r="B71" i="22"/>
  <c r="D71" i="22" s="1"/>
  <c r="F71" i="22" s="1"/>
  <c r="G70" i="22"/>
  <c r="I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D68" i="22"/>
  <c r="F68" i="22" s="1"/>
  <c r="B68" i="22"/>
  <c r="G67" i="22"/>
  <c r="I67" i="22" s="1"/>
  <c r="K67" i="22" s="1"/>
  <c r="B67" i="22"/>
  <c r="D67" i="22" s="1"/>
  <c r="F67" i="22" s="1"/>
  <c r="G66" i="22"/>
  <c r="I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D64" i="22"/>
  <c r="F64" i="22" s="1"/>
  <c r="B64" i="22"/>
  <c r="I63" i="22"/>
  <c r="K63" i="22" s="1"/>
  <c r="G63" i="22"/>
  <c r="B63" i="22"/>
  <c r="D63" i="22" s="1"/>
  <c r="F63" i="22" s="1"/>
  <c r="G62" i="22"/>
  <c r="I62" i="22" s="1"/>
  <c r="B62" i="22"/>
  <c r="D62" i="22" s="1"/>
  <c r="F62" i="22" s="1"/>
  <c r="G61" i="22"/>
  <c r="I61" i="22" s="1"/>
  <c r="B61" i="22"/>
  <c r="D61" i="22" s="1"/>
  <c r="F61" i="22" s="1"/>
  <c r="I60" i="22"/>
  <c r="K60" i="22" s="1"/>
  <c r="G60" i="22"/>
  <c r="D60" i="22"/>
  <c r="B60" i="22"/>
  <c r="I59" i="22"/>
  <c r="K59" i="22" s="1"/>
  <c r="G59" i="22"/>
  <c r="B59" i="22"/>
  <c r="D59" i="22" s="1"/>
  <c r="F59" i="22" s="1"/>
  <c r="G58" i="22"/>
  <c r="I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D56" i="22"/>
  <c r="F56" i="22" s="1"/>
  <c r="B56" i="22"/>
  <c r="I55" i="22"/>
  <c r="K55" i="22" s="1"/>
  <c r="G55" i="22"/>
  <c r="B55" i="22"/>
  <c r="D55" i="22" s="1"/>
  <c r="F55" i="22" s="1"/>
  <c r="G54" i="22"/>
  <c r="I54" i="22" s="1"/>
  <c r="B54" i="22"/>
  <c r="D54" i="22" s="1"/>
  <c r="F54" i="22" s="1"/>
  <c r="G53" i="22"/>
  <c r="I53" i="22" s="1"/>
  <c r="B53" i="22"/>
  <c r="D53" i="22" s="1"/>
  <c r="F53" i="22" s="1"/>
  <c r="I52" i="22"/>
  <c r="K52" i="22" s="1"/>
  <c r="G52" i="22"/>
  <c r="D52" i="22"/>
  <c r="B52" i="22"/>
  <c r="I51" i="22"/>
  <c r="K51" i="22" s="1"/>
  <c r="G51" i="22"/>
  <c r="B51" i="22"/>
  <c r="D51" i="22" s="1"/>
  <c r="F51" i="22" s="1"/>
  <c r="G50" i="22"/>
  <c r="I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D48" i="22"/>
  <c r="F48" i="22" s="1"/>
  <c r="B48" i="22"/>
  <c r="I47" i="22"/>
  <c r="K47" i="22" s="1"/>
  <c r="G47" i="22"/>
  <c r="B47" i="22"/>
  <c r="D47" i="22" s="1"/>
  <c r="F47" i="22" s="1"/>
  <c r="G46" i="22"/>
  <c r="I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D44" i="22"/>
  <c r="F44" i="22" s="1"/>
  <c r="B44" i="22"/>
  <c r="I43" i="22"/>
  <c r="K43" i="22" s="1"/>
  <c r="G43" i="22"/>
  <c r="B43" i="22"/>
  <c r="D43" i="22" s="1"/>
  <c r="F43" i="22" s="1"/>
  <c r="G42" i="22"/>
  <c r="I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D40" i="22"/>
  <c r="F40" i="22" s="1"/>
  <c r="B40" i="22"/>
  <c r="I39" i="22"/>
  <c r="K39" i="22" s="1"/>
  <c r="G39" i="22"/>
  <c r="B39" i="22"/>
  <c r="D39" i="22" s="1"/>
  <c r="F39" i="22" s="1"/>
  <c r="G38" i="22"/>
  <c r="I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D36" i="22"/>
  <c r="F36" i="22" s="1"/>
  <c r="B36" i="22"/>
  <c r="I35" i="22"/>
  <c r="K35" i="22" s="1"/>
  <c r="G35" i="22"/>
  <c r="B35" i="22"/>
  <c r="D35" i="22" s="1"/>
  <c r="F35" i="22" s="1"/>
  <c r="G34" i="22"/>
  <c r="I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D32" i="22"/>
  <c r="F32" i="22" s="1"/>
  <c r="B32" i="22"/>
  <c r="I31" i="22"/>
  <c r="K31" i="22" s="1"/>
  <c r="G31" i="22"/>
  <c r="B31" i="22"/>
  <c r="D31" i="22" s="1"/>
  <c r="F31" i="22" s="1"/>
  <c r="G30" i="22"/>
  <c r="I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D28" i="22"/>
  <c r="F28" i="22" s="1"/>
  <c r="B28" i="22"/>
  <c r="I27" i="22"/>
  <c r="K27" i="22" s="1"/>
  <c r="G27" i="22"/>
  <c r="B27" i="22"/>
  <c r="D27" i="22" s="1"/>
  <c r="F27" i="22" s="1"/>
  <c r="G26" i="22"/>
  <c r="I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D24" i="22"/>
  <c r="F24" i="22" s="1"/>
  <c r="B24" i="22"/>
  <c r="I23" i="22"/>
  <c r="K23" i="22" s="1"/>
  <c r="G23" i="22"/>
  <c r="B23" i="22"/>
  <c r="D23" i="22" s="1"/>
  <c r="F23" i="22" s="1"/>
  <c r="G22" i="22"/>
  <c r="I22" i="22" s="1"/>
  <c r="B22" i="22"/>
  <c r="D22" i="22" s="1"/>
  <c r="F22" i="22" s="1"/>
  <c r="G21" i="22"/>
  <c r="I21" i="22" s="1"/>
  <c r="B21" i="22"/>
  <c r="D21" i="22" s="1"/>
  <c r="F21" i="22" s="1"/>
  <c r="I20" i="22"/>
  <c r="K20" i="22" s="1"/>
  <c r="G20" i="22"/>
  <c r="D20" i="22"/>
  <c r="B20" i="22"/>
  <c r="I19" i="22"/>
  <c r="K19" i="22" s="1"/>
  <c r="G19" i="22"/>
  <c r="B19" i="22"/>
  <c r="D19" i="22" s="1"/>
  <c r="F19" i="22" s="1"/>
  <c r="G18" i="22"/>
  <c r="I18" i="22" s="1"/>
  <c r="B18" i="22"/>
  <c r="D18" i="22" s="1"/>
  <c r="F18" i="22" s="1"/>
  <c r="G17" i="22"/>
  <c r="I17" i="22" s="1"/>
  <c r="B17" i="22"/>
  <c r="D17" i="22" s="1"/>
  <c r="F17" i="22" s="1"/>
  <c r="I16" i="22"/>
  <c r="K16" i="22" s="1"/>
  <c r="G16" i="22"/>
  <c r="D16" i="22"/>
  <c r="L16" i="22" s="1"/>
  <c r="B16" i="22"/>
  <c r="I15" i="22"/>
  <c r="K15" i="22" s="1"/>
  <c r="G15" i="22"/>
  <c r="B15" i="22"/>
  <c r="D15" i="22" s="1"/>
  <c r="F15" i="22" s="1"/>
  <c r="G14" i="22"/>
  <c r="I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D12" i="22"/>
  <c r="F12" i="22" s="1"/>
  <c r="B12" i="22"/>
  <c r="I11" i="22"/>
  <c r="K11" i="22" s="1"/>
  <c r="G11" i="22"/>
  <c r="B11" i="22"/>
  <c r="D11" i="22" s="1"/>
  <c r="F11" i="22" s="1"/>
  <c r="G10" i="22"/>
  <c r="I10" i="22" s="1"/>
  <c r="B10" i="22"/>
  <c r="D10" i="22" s="1"/>
  <c r="F10" i="22" s="1"/>
  <c r="G9" i="22"/>
  <c r="I9" i="22" s="1"/>
  <c r="B9" i="22"/>
  <c r="D9" i="22" s="1"/>
  <c r="F9" i="22" s="1"/>
  <c r="G8" i="22"/>
  <c r="I8" i="22" s="1"/>
  <c r="D8" i="22"/>
  <c r="F8" i="22" s="1"/>
  <c r="B8" i="22"/>
  <c r="I7" i="22"/>
  <c r="K7" i="22" s="1"/>
  <c r="G7" i="22"/>
  <c r="B7" i="22"/>
  <c r="D7" i="22" s="1"/>
  <c r="F7" i="22" s="1"/>
  <c r="G6" i="22"/>
  <c r="I6" i="22" s="1"/>
  <c r="B6" i="22"/>
  <c r="D6" i="22" s="1"/>
  <c r="F6" i="22" s="1"/>
  <c r="G5" i="22"/>
  <c r="I5" i="22" s="1"/>
  <c r="B5" i="22"/>
  <c r="D5" i="22" s="1"/>
  <c r="F5" i="22" s="1"/>
  <c r="G4" i="22"/>
  <c r="I4" i="22" s="1"/>
  <c r="D4" i="22"/>
  <c r="F4" i="22" s="1"/>
  <c r="B4" i="22"/>
  <c r="L52" i="22" l="1"/>
  <c r="L60" i="22"/>
  <c r="L20" i="22"/>
  <c r="K4" i="22"/>
  <c r="L4" i="22"/>
  <c r="K6" i="22"/>
  <c r="L6" i="22"/>
  <c r="L9" i="22"/>
  <c r="K9" i="22"/>
  <c r="K12" i="22"/>
  <c r="L12" i="22"/>
  <c r="K14" i="22"/>
  <c r="L14" i="22"/>
  <c r="L17" i="22"/>
  <c r="K17" i="22"/>
  <c r="K22" i="22"/>
  <c r="L22" i="22"/>
  <c r="L25" i="22"/>
  <c r="K25" i="22"/>
  <c r="K28" i="22"/>
  <c r="L28" i="22"/>
  <c r="K30" i="22"/>
  <c r="L30" i="22"/>
  <c r="L33" i="22"/>
  <c r="K33" i="22"/>
  <c r="K36" i="22"/>
  <c r="L36" i="22"/>
  <c r="K38" i="22"/>
  <c r="L38" i="22"/>
  <c r="L41" i="22"/>
  <c r="K41" i="22"/>
  <c r="K44" i="22"/>
  <c r="L44" i="22"/>
  <c r="K46" i="22"/>
  <c r="L46" i="22"/>
  <c r="L49" i="22"/>
  <c r="K49" i="22"/>
  <c r="K54" i="22"/>
  <c r="L54" i="22"/>
  <c r="L57" i="22"/>
  <c r="K57" i="22"/>
  <c r="L61" i="22"/>
  <c r="K61" i="22"/>
  <c r="K64" i="22"/>
  <c r="L64" i="22"/>
  <c r="K66" i="22"/>
  <c r="L66" i="22"/>
  <c r="L69" i="22"/>
  <c r="K69" i="22"/>
  <c r="K72" i="22"/>
  <c r="L72" i="22"/>
  <c r="K74" i="22"/>
  <c r="L74" i="22"/>
  <c r="L5" i="22"/>
  <c r="K5" i="22"/>
  <c r="K8" i="22"/>
  <c r="L8" i="22"/>
  <c r="K10" i="22"/>
  <c r="L10" i="22"/>
  <c r="L13" i="22"/>
  <c r="K13" i="22"/>
  <c r="K18" i="22"/>
  <c r="L18" i="22"/>
  <c r="L21" i="22"/>
  <c r="K21" i="22"/>
  <c r="K24" i="22"/>
  <c r="L24" i="22"/>
  <c r="K26" i="22"/>
  <c r="L26" i="22"/>
  <c r="L29" i="22"/>
  <c r="K29" i="22"/>
  <c r="K32" i="22"/>
  <c r="L32" i="22"/>
  <c r="K34" i="22"/>
  <c r="L34" i="22"/>
  <c r="L37" i="22"/>
  <c r="K37" i="22"/>
  <c r="K40" i="22"/>
  <c r="L40" i="22"/>
  <c r="K42" i="22"/>
  <c r="L42" i="22"/>
  <c r="L45" i="22"/>
  <c r="K45" i="22"/>
  <c r="K48" i="22"/>
  <c r="L48" i="22"/>
  <c r="K50" i="22"/>
  <c r="L50" i="22"/>
  <c r="L53" i="22"/>
  <c r="K53" i="22"/>
  <c r="K56" i="22"/>
  <c r="L56" i="22"/>
  <c r="K58" i="22"/>
  <c r="L58" i="22"/>
  <c r="K62" i="22"/>
  <c r="L62" i="22"/>
  <c r="L65" i="22"/>
  <c r="K65" i="22"/>
  <c r="K68" i="22"/>
  <c r="L68" i="22"/>
  <c r="K70" i="22"/>
  <c r="L70" i="22"/>
  <c r="L73" i="22"/>
  <c r="K73" i="22"/>
  <c r="L7" i="22"/>
  <c r="L11" i="22"/>
  <c r="L15" i="22"/>
  <c r="L19" i="22"/>
  <c r="L23" i="22"/>
  <c r="L27" i="22"/>
  <c r="L31" i="22"/>
  <c r="L35" i="22"/>
  <c r="L39" i="22"/>
  <c r="L43" i="22"/>
  <c r="L47" i="22"/>
  <c r="L51" i="22"/>
  <c r="L55" i="22"/>
  <c r="L59" i="22"/>
  <c r="L63" i="22"/>
  <c r="L67" i="22"/>
  <c r="L71" i="22"/>
  <c r="F16" i="22"/>
  <c r="F20" i="22"/>
  <c r="F52" i="22"/>
  <c r="F60" i="22"/>
  <c r="X24" i="3" l="1"/>
  <c r="X25" i="3"/>
  <c r="X26" i="3"/>
  <c r="X27" i="3"/>
  <c r="X28" i="3"/>
  <c r="AC36" i="12"/>
  <c r="D8" i="23"/>
  <c r="C18" i="23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AK44" i="1"/>
  <c r="T44" i="1"/>
  <c r="AS44" i="1" s="1"/>
  <c r="AT44" i="1" s="1"/>
  <c r="AK43" i="1"/>
  <c r="AS43" i="1" s="1"/>
  <c r="AT43" i="1" s="1"/>
  <c r="U43" i="1"/>
  <c r="T43" i="1"/>
  <c r="C43" i="1"/>
  <c r="AK42" i="1"/>
  <c r="U42" i="1"/>
  <c r="T42" i="1"/>
  <c r="AK41" i="1"/>
  <c r="C35" i="23" s="1"/>
  <c r="U41" i="1"/>
  <c r="T41" i="1"/>
  <c r="AS41" i="1" s="1"/>
  <c r="AT41" i="1" s="1"/>
  <c r="AK40" i="1"/>
  <c r="C34" i="23" s="1"/>
  <c r="U40" i="1"/>
  <c r="T40" i="1"/>
  <c r="D34" i="23" s="1"/>
  <c r="AK39" i="1"/>
  <c r="C33" i="23" s="1"/>
  <c r="U39" i="1"/>
  <c r="T39" i="1"/>
  <c r="D33" i="23" s="1"/>
  <c r="AK38" i="1"/>
  <c r="C32" i="23" s="1"/>
  <c r="U38" i="1"/>
  <c r="T38" i="1"/>
  <c r="AK37" i="1"/>
  <c r="C31" i="23" s="1"/>
  <c r="U37" i="1"/>
  <c r="T37" i="1"/>
  <c r="AK36" i="1"/>
  <c r="C30" i="23" s="1"/>
  <c r="U36" i="1"/>
  <c r="T36" i="1"/>
  <c r="D30" i="23" s="1"/>
  <c r="AK35" i="1"/>
  <c r="C29" i="23" s="1"/>
  <c r="U35" i="1"/>
  <c r="T35" i="1"/>
  <c r="D29" i="23" s="1"/>
  <c r="AK34" i="1"/>
  <c r="C28" i="23" s="1"/>
  <c r="U34" i="1"/>
  <c r="T34" i="1"/>
  <c r="AS34" i="1" s="1"/>
  <c r="AT34" i="1" s="1"/>
  <c r="AK33" i="1"/>
  <c r="C27" i="23" s="1"/>
  <c r="U33" i="1"/>
  <c r="T33" i="1"/>
  <c r="AS33" i="1" s="1"/>
  <c r="AT33" i="1" s="1"/>
  <c r="AK32" i="1"/>
  <c r="C26" i="23" s="1"/>
  <c r="U32" i="1"/>
  <c r="T32" i="1"/>
  <c r="D26" i="23" s="1"/>
  <c r="AK31" i="1"/>
  <c r="C25" i="23" s="1"/>
  <c r="U31" i="1"/>
  <c r="T31" i="1"/>
  <c r="D25" i="23" s="1"/>
  <c r="AK30" i="1"/>
  <c r="C24" i="23" s="1"/>
  <c r="U30" i="1"/>
  <c r="T30" i="1"/>
  <c r="AK29" i="1"/>
  <c r="C23" i="23" s="1"/>
  <c r="U29" i="1"/>
  <c r="T29" i="1"/>
  <c r="AK28" i="1"/>
  <c r="C22" i="23" s="1"/>
  <c r="U28" i="1"/>
  <c r="T28" i="1"/>
  <c r="D22" i="23" s="1"/>
  <c r="AK27" i="1"/>
  <c r="C21" i="23" s="1"/>
  <c r="U27" i="1"/>
  <c r="T27" i="1"/>
  <c r="D21" i="23" s="1"/>
  <c r="AK26" i="1"/>
  <c r="C20" i="23" s="1"/>
  <c r="U26" i="1"/>
  <c r="T26" i="1"/>
  <c r="AS26" i="1" s="1"/>
  <c r="AT26" i="1" s="1"/>
  <c r="AK25" i="1"/>
  <c r="C19" i="23" s="1"/>
  <c r="U25" i="1"/>
  <c r="T25" i="1"/>
  <c r="D19" i="23" s="1"/>
  <c r="AK24" i="1"/>
  <c r="U24" i="1"/>
  <c r="T24" i="1"/>
  <c r="D18" i="23" s="1"/>
  <c r="AK23" i="1"/>
  <c r="C17" i="23" s="1"/>
  <c r="U23" i="1"/>
  <c r="T23" i="1"/>
  <c r="AK22" i="1"/>
  <c r="C16" i="23" s="1"/>
  <c r="U22" i="1"/>
  <c r="T22" i="1"/>
  <c r="D16" i="23" s="1"/>
  <c r="AK21" i="1"/>
  <c r="C15" i="23" s="1"/>
  <c r="U21" i="1"/>
  <c r="T21" i="1"/>
  <c r="D15" i="23" s="1"/>
  <c r="AK20" i="1"/>
  <c r="C14" i="23" s="1"/>
  <c r="U20" i="1"/>
  <c r="T20" i="1"/>
  <c r="D14" i="23" s="1"/>
  <c r="AK19" i="1"/>
  <c r="C13" i="23" s="1"/>
  <c r="U19" i="1"/>
  <c r="T19" i="1"/>
  <c r="D13" i="23" s="1"/>
  <c r="AK18" i="1"/>
  <c r="C12" i="23" s="1"/>
  <c r="U18" i="1"/>
  <c r="T18" i="1"/>
  <c r="D12" i="23" s="1"/>
  <c r="AK17" i="1"/>
  <c r="C11" i="23" s="1"/>
  <c r="U17" i="1"/>
  <c r="T17" i="1"/>
  <c r="D11" i="23" s="1"/>
  <c r="AK16" i="1"/>
  <c r="C10" i="23" s="1"/>
  <c r="U16" i="1"/>
  <c r="T16" i="1"/>
  <c r="D10" i="23" s="1"/>
  <c r="AK15" i="1"/>
  <c r="C9" i="23" s="1"/>
  <c r="U15" i="1"/>
  <c r="T15" i="1"/>
  <c r="D9" i="23" s="1"/>
  <c r="AK14" i="1"/>
  <c r="C8" i="23" s="1"/>
  <c r="U14" i="1"/>
  <c r="T14" i="1"/>
  <c r="AK13" i="1"/>
  <c r="C7" i="23" s="1"/>
  <c r="U13" i="1"/>
  <c r="T13" i="1"/>
  <c r="D7" i="23" s="1"/>
  <c r="AK12" i="1"/>
  <c r="C6" i="23" s="1"/>
  <c r="U12" i="1"/>
  <c r="T12" i="1"/>
  <c r="D6" i="23" s="1"/>
  <c r="AK11" i="1"/>
  <c r="C5" i="23" s="1"/>
  <c r="U11" i="1"/>
  <c r="T11" i="1"/>
  <c r="D5" i="23" s="1"/>
  <c r="D11" i="1"/>
  <c r="AK10" i="1"/>
  <c r="U10" i="1"/>
  <c r="T10" i="1"/>
  <c r="AS10" i="1" s="1"/>
  <c r="U9" i="1"/>
  <c r="T9" i="1"/>
  <c r="AS9" i="1" s="1"/>
  <c r="AS13" i="1" l="1"/>
  <c r="AS37" i="1"/>
  <c r="AT37" i="1" s="1"/>
  <c r="AS30" i="1"/>
  <c r="AT30" i="1" s="1"/>
  <c r="AS38" i="1"/>
  <c r="AT38" i="1" s="1"/>
  <c r="V10" i="1"/>
  <c r="AC25" i="12"/>
  <c r="AS29" i="1"/>
  <c r="AT29" i="1" s="1"/>
  <c r="AC29" i="12"/>
  <c r="D31" i="23"/>
  <c r="D27" i="23"/>
  <c r="D23" i="23"/>
  <c r="D32" i="23"/>
  <c r="D28" i="23"/>
  <c r="D24" i="23"/>
  <c r="AC32" i="12"/>
  <c r="AC28" i="12"/>
  <c r="D20" i="23"/>
  <c r="AC21" i="12"/>
  <c r="AS25" i="1"/>
  <c r="V24" i="1"/>
  <c r="F18" i="11" s="1"/>
  <c r="V23" i="1"/>
  <c r="F17" i="11" s="1"/>
  <c r="D17" i="23"/>
  <c r="V19" i="1"/>
  <c r="F13" i="11" s="1"/>
  <c r="AK45" i="1"/>
  <c r="AS12" i="1"/>
  <c r="V11" i="1"/>
  <c r="F5" i="11" s="1"/>
  <c r="V15" i="1"/>
  <c r="F9" i="11" s="1"/>
  <c r="AS27" i="1"/>
  <c r="AS31" i="1"/>
  <c r="AS35" i="1"/>
  <c r="AS28" i="1"/>
  <c r="AS32" i="1"/>
  <c r="AS36" i="1"/>
  <c r="AS40" i="1"/>
  <c r="AS39" i="1"/>
  <c r="V16" i="1"/>
  <c r="F10" i="11" s="1"/>
  <c r="V20" i="1"/>
  <c r="F14" i="11" s="1"/>
  <c r="V17" i="1"/>
  <c r="F11" i="11" s="1"/>
  <c r="V21" i="1"/>
  <c r="F15" i="11" s="1"/>
  <c r="U45" i="1"/>
  <c r="V14" i="1"/>
  <c r="F8" i="11" s="1"/>
  <c r="V18" i="1"/>
  <c r="F12" i="11" s="1"/>
  <c r="V22" i="1"/>
  <c r="F16" i="11" s="1"/>
  <c r="V28" i="1"/>
  <c r="F22" i="11" s="1"/>
  <c r="V29" i="1"/>
  <c r="F23" i="11" s="1"/>
  <c r="V30" i="1"/>
  <c r="F24" i="11" s="1"/>
  <c r="V31" i="1"/>
  <c r="F25" i="11" s="1"/>
  <c r="V32" i="1"/>
  <c r="F26" i="11" s="1"/>
  <c r="V33" i="1"/>
  <c r="F27" i="11" s="1"/>
  <c r="V34" i="1"/>
  <c r="F28" i="11" s="1"/>
  <c r="V35" i="1"/>
  <c r="F29" i="11" s="1"/>
  <c r="V36" i="1"/>
  <c r="F30" i="11" s="1"/>
  <c r="V37" i="1"/>
  <c r="F31" i="11" s="1"/>
  <c r="V38" i="1"/>
  <c r="F32" i="11" s="1"/>
  <c r="V39" i="1"/>
  <c r="F33" i="11" s="1"/>
  <c r="V40" i="1"/>
  <c r="F34" i="11" s="1"/>
  <c r="V41" i="1"/>
  <c r="AS42" i="1"/>
  <c r="T45" i="1"/>
  <c r="U47" i="1" s="1"/>
  <c r="U48" i="1" s="1"/>
  <c r="AU11" i="1"/>
  <c r="V12" i="1"/>
  <c r="F6" i="11" s="1"/>
  <c r="V13" i="1"/>
  <c r="F7" i="11" s="1"/>
  <c r="V25" i="1"/>
  <c r="F19" i="11" s="1"/>
  <c r="V26" i="1"/>
  <c r="F20" i="11" s="1"/>
  <c r="V27" i="1"/>
  <c r="F21" i="11" s="1"/>
  <c r="T47" i="1"/>
  <c r="AS11" i="1"/>
  <c r="AS14" i="1"/>
  <c r="AS15" i="1"/>
  <c r="AS16" i="1"/>
  <c r="AS17" i="1"/>
  <c r="AS18" i="1"/>
  <c r="AS19" i="1"/>
  <c r="AS20" i="1"/>
  <c r="AS21" i="1"/>
  <c r="AS22" i="1"/>
  <c r="AS23" i="1"/>
  <c r="AS24" i="1"/>
  <c r="AT15" i="1" l="1"/>
  <c r="AC10" i="12"/>
  <c r="AT22" i="1"/>
  <c r="AC17" i="12"/>
  <c r="AT14" i="1"/>
  <c r="AC9" i="12"/>
  <c r="AT25" i="1"/>
  <c r="AC20" i="12"/>
  <c r="AT42" i="1"/>
  <c r="AC37" i="12"/>
  <c r="AT16" i="1"/>
  <c r="AC11" i="12"/>
  <c r="AT21" i="1"/>
  <c r="AC16" i="12"/>
  <c r="AT19" i="1"/>
  <c r="AC14" i="12"/>
  <c r="AT12" i="1"/>
  <c r="AC7" i="12"/>
  <c r="D12" i="1"/>
  <c r="AC6" i="12"/>
  <c r="AT18" i="1"/>
  <c r="AC13" i="12"/>
  <c r="AC33" i="12"/>
  <c r="AT13" i="1"/>
  <c r="AC8" i="12"/>
  <c r="AT20" i="1"/>
  <c r="AC15" i="12"/>
  <c r="AT23" i="1"/>
  <c r="AC18" i="12"/>
  <c r="AT24" i="1"/>
  <c r="AC19" i="12"/>
  <c r="AT17" i="1"/>
  <c r="AC12" i="12"/>
  <c r="AC24" i="12"/>
  <c r="AT36" i="1"/>
  <c r="AC31" i="12"/>
  <c r="AT31" i="1"/>
  <c r="AC26" i="12"/>
  <c r="AT40" i="1"/>
  <c r="AC35" i="12"/>
  <c r="AT35" i="1"/>
  <c r="AC30" i="12"/>
  <c r="AT39" i="1"/>
  <c r="AC34" i="12"/>
  <c r="AT28" i="1"/>
  <c r="AC23" i="12"/>
  <c r="AT32" i="1"/>
  <c r="AC27" i="12"/>
  <c r="AT27" i="1"/>
  <c r="AC22" i="12"/>
  <c r="V45" i="1"/>
  <c r="AU12" i="1"/>
  <c r="D13" i="1"/>
  <c r="AS45" i="1"/>
  <c r="AS47" i="1" s="1"/>
  <c r="AS48" i="1" s="1"/>
  <c r="AT11" i="1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6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6" i="23"/>
  <c r="C36" i="2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T45" i="1" l="1"/>
  <c r="AU13" i="1"/>
  <c r="D14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D15" i="1" l="1"/>
  <c r="AU14" i="1"/>
  <c r="D16" i="1" l="1"/>
  <c r="AU15" i="1"/>
  <c r="G10" i="15"/>
  <c r="G11" i="15"/>
  <c r="G12" i="15"/>
  <c r="G13" i="15"/>
  <c r="G14" i="15"/>
  <c r="D17" i="1" l="1"/>
  <c r="AU16" i="1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D18" i="1" l="1"/>
  <c r="AU17" i="1"/>
  <c r="O4" i="18"/>
  <c r="Q5" i="18" s="1"/>
  <c r="O5" i="18"/>
  <c r="Q6" i="18" s="1"/>
  <c r="O6" i="18"/>
  <c r="Q7" i="18" s="1"/>
  <c r="O7" i="18"/>
  <c r="Q8" i="18" s="1"/>
  <c r="O8" i="18"/>
  <c r="Q9" i="18" s="1"/>
  <c r="O9" i="18"/>
  <c r="Q10" i="18" s="1"/>
  <c r="O10" i="18"/>
  <c r="Q11" i="18" s="1"/>
  <c r="O11" i="18"/>
  <c r="Q12" i="18" s="1"/>
  <c r="O12" i="18"/>
  <c r="O13" i="18"/>
  <c r="O14" i="18"/>
  <c r="Q15" i="18" s="1"/>
  <c r="O15" i="18"/>
  <c r="Q16" i="18" s="1"/>
  <c r="O16" i="18"/>
  <c r="Q17" i="18" s="1"/>
  <c r="O17" i="18"/>
  <c r="Q18" i="18" s="1"/>
  <c r="O18" i="18"/>
  <c r="Q19" i="18" s="1"/>
  <c r="O19" i="18"/>
  <c r="Q20" i="18" s="1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Q1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D19" i="1" l="1"/>
  <c r="AU18" i="1"/>
  <c r="N6" i="3"/>
  <c r="F31" i="3"/>
  <c r="G6" i="10"/>
  <c r="G7" i="10"/>
  <c r="G8" i="10"/>
  <c r="G9" i="10"/>
  <c r="G10" i="10"/>
  <c r="G11" i="10"/>
  <c r="G12" i="10"/>
  <c r="G13" i="10"/>
  <c r="G14" i="10"/>
  <c r="G34" i="15"/>
  <c r="L29" i="10" s="1"/>
  <c r="G35" i="15"/>
  <c r="L30" i="10" s="1"/>
  <c r="F30" i="10"/>
  <c r="F29" i="10"/>
  <c r="F30" i="3"/>
  <c r="G32" i="15"/>
  <c r="L27" i="10" s="1"/>
  <c r="F29" i="3"/>
  <c r="D20" i="1" l="1"/>
  <c r="AU19" i="1"/>
  <c r="G35" i="10"/>
  <c r="D35" i="23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E16" i="3"/>
  <c r="AE15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4" i="3"/>
  <c r="AJ38" i="3"/>
  <c r="AE12" i="3"/>
  <c r="D21" i="1" l="1"/>
  <c r="AU20" i="1"/>
  <c r="H27" i="3"/>
  <c r="AE13" i="3"/>
  <c r="AC4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4" i="18"/>
  <c r="AB6" i="3"/>
  <c r="D22" i="1" l="1"/>
  <c r="AU21" i="1"/>
  <c r="AB7" i="3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K13" i="18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U22" i="13"/>
  <c r="U23" i="13"/>
  <c r="D23" i="1" l="1"/>
  <c r="AU22" i="1"/>
  <c r="K18" i="14"/>
  <c r="K19" i="14"/>
  <c r="K20" i="14"/>
  <c r="D58" i="3"/>
  <c r="N17" i="12"/>
  <c r="P17" i="12" s="1"/>
  <c r="E16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K4" i="18"/>
  <c r="K3" i="18"/>
  <c r="AB4" i="18"/>
  <c r="AC5" i="18" s="1"/>
  <c r="AB34" i="18"/>
  <c r="AC35" i="18" s="1"/>
  <c r="AB35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" i="18"/>
  <c r="D47" i="3"/>
  <c r="D48" i="3"/>
  <c r="D49" i="3"/>
  <c r="D50" i="3"/>
  <c r="D51" i="3"/>
  <c r="D52" i="3"/>
  <c r="D53" i="3"/>
  <c r="D54" i="3"/>
  <c r="D55" i="3"/>
  <c r="D56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24" i="1" l="1"/>
  <c r="AU23" i="1"/>
  <c r="K15" i="10"/>
  <c r="F15" i="23"/>
  <c r="S14" i="18"/>
  <c r="S12" i="18"/>
  <c r="S9" i="18"/>
  <c r="S10" i="18"/>
  <c r="S8" i="18"/>
  <c r="S7" i="18"/>
  <c r="D25" i="1" l="1"/>
  <c r="AU24" i="1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AU25" i="1" l="1"/>
  <c r="D26" i="1"/>
  <c r="S15" i="18"/>
  <c r="S34" i="18"/>
  <c r="K9" i="12"/>
  <c r="M9" i="12" s="1"/>
  <c r="AU26" i="1" l="1"/>
  <c r="D27" i="1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1" i="15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AU27" i="1" l="1"/>
  <c r="D28" i="1"/>
  <c r="S4" i="18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AU28" i="1" l="1"/>
  <c r="D29" i="1"/>
  <c r="E15" i="14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D30" i="1" l="1"/>
  <c r="AU29" i="1"/>
  <c r="F16" i="14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AU30" i="1" l="1"/>
  <c r="D31" i="1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D32" i="1" l="1"/>
  <c r="AU31" i="1"/>
  <c r="H11" i="15"/>
  <c r="I11" i="15" s="1"/>
  <c r="J11" i="15" s="1"/>
  <c r="H12" i="15"/>
  <c r="I12" i="15" s="1"/>
  <c r="J12" i="15" s="1"/>
  <c r="H13" i="15"/>
  <c r="I13" i="15" s="1"/>
  <c r="J13" i="15" s="1"/>
  <c r="H14" i="15"/>
  <c r="I14" i="15" s="1"/>
  <c r="J14" i="15" s="1"/>
  <c r="H15" i="15"/>
  <c r="I15" i="15" s="1"/>
  <c r="H16" i="15"/>
  <c r="I16" i="15" s="1"/>
  <c r="H17" i="15"/>
  <c r="I17" i="15" s="1"/>
  <c r="H18" i="15"/>
  <c r="I18" i="15" s="1"/>
  <c r="H19" i="15"/>
  <c r="I19" i="15" s="1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10" i="15"/>
  <c r="AU32" i="1" l="1"/>
  <c r="D33" i="1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L24" i="10" s="1"/>
  <c r="G30" i="15"/>
  <c r="L25" i="10" s="1"/>
  <c r="G31" i="15"/>
  <c r="L26" i="10" s="1"/>
  <c r="G33" i="15"/>
  <c r="L28" i="10" s="1"/>
  <c r="G36" i="15"/>
  <c r="L31" i="10" s="1"/>
  <c r="G37" i="15"/>
  <c r="L32" i="10" s="1"/>
  <c r="G38" i="15"/>
  <c r="L33" i="10" s="1"/>
  <c r="G39" i="15"/>
  <c r="L34" i="10" s="1"/>
  <c r="G40" i="15"/>
  <c r="L35" i="10" s="1"/>
  <c r="J28" i="15" l="1"/>
  <c r="L23" i="10"/>
  <c r="AU33" i="1"/>
  <c r="D34" i="1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AU34" i="1" l="1"/>
  <c r="D35" i="1"/>
  <c r="F8" i="23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T15" i="12"/>
  <c r="V15" i="12" s="1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N15" i="12"/>
  <c r="P15" i="12" s="1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D36" i="1" l="1"/>
  <c r="AU35" i="1"/>
  <c r="Z26" i="12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V10" i="13" s="1"/>
  <c r="Y10" i="13"/>
  <c r="Z10" i="13" s="1"/>
  <c r="AA10" i="13" s="1"/>
  <c r="AC10" i="13"/>
  <c r="H9" i="23" s="1"/>
  <c r="Q11" i="13"/>
  <c r="R11" i="13" s="1"/>
  <c r="U11" i="13"/>
  <c r="V11" i="13" s="1"/>
  <c r="Y11" i="13"/>
  <c r="Z11" i="13" s="1"/>
  <c r="AA11" i="13" s="1"/>
  <c r="AC11" i="13"/>
  <c r="H10" i="23" s="1"/>
  <c r="Q12" i="13"/>
  <c r="R12" i="13" s="1"/>
  <c r="U12" i="13"/>
  <c r="V12" i="13" s="1"/>
  <c r="Y12" i="13"/>
  <c r="Z12" i="13" s="1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U21" i="13"/>
  <c r="V21" i="13" s="1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U24" i="13"/>
  <c r="V24" i="13" s="1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H25" i="23" s="1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AC28" i="13"/>
  <c r="H27" i="23" s="1"/>
  <c r="U25" i="3"/>
  <c r="X19" i="3"/>
  <c r="X20" i="3"/>
  <c r="X21" i="3"/>
  <c r="X22" i="3"/>
  <c r="X23" i="3"/>
  <c r="AA19" i="3"/>
  <c r="AA20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U36" i="1" l="1"/>
  <c r="D37" i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X37" i="3"/>
  <c r="X36" i="3"/>
  <c r="X35" i="3"/>
  <c r="X34" i="3"/>
  <c r="X33" i="3"/>
  <c r="X32" i="3"/>
  <c r="X31" i="3"/>
  <c r="X30" i="3"/>
  <c r="X2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E20" i="3"/>
  <c r="F19" i="23" s="1"/>
  <c r="E21" i="3"/>
  <c r="F20" i="23" s="1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F36" i="23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U37" i="1"/>
  <c r="D38" i="1"/>
  <c r="F21" i="23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U38" i="1" l="1"/>
  <c r="D39" i="1"/>
  <c r="B5" i="1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T5" i="18" s="1"/>
  <c r="Y5" i="18" s="1"/>
  <c r="B6" i="18"/>
  <c r="H6" i="18" s="1"/>
  <c r="M6" i="18" s="1"/>
  <c r="T6" i="18" s="1"/>
  <c r="Y6" i="18" s="1"/>
  <c r="B7" i="18"/>
  <c r="H7" i="18" s="1"/>
  <c r="M7" i="18" s="1"/>
  <c r="T7" i="18" s="1"/>
  <c r="Y7" i="18" s="1"/>
  <c r="B8" i="18"/>
  <c r="H8" i="18" s="1"/>
  <c r="M8" i="18" s="1"/>
  <c r="T8" i="18" s="1"/>
  <c r="Y8" i="18" s="1"/>
  <c r="B9" i="18"/>
  <c r="H9" i="18" s="1"/>
  <c r="M9" i="18" s="1"/>
  <c r="T9" i="18" s="1"/>
  <c r="Y9" i="18" s="1"/>
  <c r="B10" i="18"/>
  <c r="H10" i="18" s="1"/>
  <c r="M10" i="18" s="1"/>
  <c r="T10" i="18" s="1"/>
  <c r="Y10" i="18" s="1"/>
  <c r="B11" i="18"/>
  <c r="H11" i="18" s="1"/>
  <c r="M11" i="18" s="1"/>
  <c r="T11" i="18" s="1"/>
  <c r="Y11" i="18" s="1"/>
  <c r="B12" i="18"/>
  <c r="B13" i="18"/>
  <c r="H13" i="18" s="1"/>
  <c r="M13" i="18" s="1"/>
  <c r="T13" i="18" s="1"/>
  <c r="Y13" i="18" s="1"/>
  <c r="B14" i="18"/>
  <c r="H14" i="18" s="1"/>
  <c r="M14" i="18" s="1"/>
  <c r="T14" i="18" s="1"/>
  <c r="Y14" i="18" s="1"/>
  <c r="B15" i="18"/>
  <c r="H15" i="18" s="1"/>
  <c r="M15" i="18" s="1"/>
  <c r="T15" i="18" s="1"/>
  <c r="Y15" i="18" s="1"/>
  <c r="B16" i="18"/>
  <c r="H16" i="18" s="1"/>
  <c r="M16" i="18" s="1"/>
  <c r="T16" i="18" s="1"/>
  <c r="Y16" i="18" s="1"/>
  <c r="B17" i="18"/>
  <c r="H17" i="18" s="1"/>
  <c r="M17" i="18" s="1"/>
  <c r="T17" i="18" s="1"/>
  <c r="Y17" i="18" s="1"/>
  <c r="B18" i="18"/>
  <c r="H18" i="18" s="1"/>
  <c r="M18" i="18" s="1"/>
  <c r="T18" i="18" s="1"/>
  <c r="Y18" i="18" s="1"/>
  <c r="B19" i="18"/>
  <c r="H19" i="18" s="1"/>
  <c r="M19" i="18" s="1"/>
  <c r="T19" i="18" s="1"/>
  <c r="Y19" i="18" s="1"/>
  <c r="B20" i="18"/>
  <c r="H20" i="18" s="1"/>
  <c r="M20" i="18" s="1"/>
  <c r="T20" i="18" s="1"/>
  <c r="Y20" i="18" s="1"/>
  <c r="B21" i="18"/>
  <c r="H21" i="18" s="1"/>
  <c r="M21" i="18" s="1"/>
  <c r="T21" i="18" s="1"/>
  <c r="Y21" i="18" s="1"/>
  <c r="B22" i="18"/>
  <c r="H22" i="18" s="1"/>
  <c r="M22" i="18" s="1"/>
  <c r="T22" i="18" s="1"/>
  <c r="Y22" i="18" s="1"/>
  <c r="B23" i="18"/>
  <c r="H23" i="18" s="1"/>
  <c r="M23" i="18" s="1"/>
  <c r="T23" i="18" s="1"/>
  <c r="Y23" i="18" s="1"/>
  <c r="B24" i="18"/>
  <c r="H24" i="18" s="1"/>
  <c r="M24" i="18" s="1"/>
  <c r="B25" i="18"/>
  <c r="H25" i="18" s="1"/>
  <c r="M25" i="18" s="1"/>
  <c r="T25" i="18" s="1"/>
  <c r="Y25" i="18" s="1"/>
  <c r="B26" i="18"/>
  <c r="H26" i="18" s="1"/>
  <c r="M26" i="18" s="1"/>
  <c r="T26" i="18" s="1"/>
  <c r="Y26" i="18" s="1"/>
  <c r="B27" i="18"/>
  <c r="H27" i="18" s="1"/>
  <c r="M27" i="18" s="1"/>
  <c r="T27" i="18" s="1"/>
  <c r="Y27" i="18" s="1"/>
  <c r="B28" i="18"/>
  <c r="H28" i="18" s="1"/>
  <c r="M28" i="18" s="1"/>
  <c r="T28" i="18" s="1"/>
  <c r="Y28" i="18" s="1"/>
  <c r="B29" i="18"/>
  <c r="H29" i="18" s="1"/>
  <c r="M29" i="18" s="1"/>
  <c r="T29" i="18" s="1"/>
  <c r="Y29" i="18" s="1"/>
  <c r="B30" i="18"/>
  <c r="H30" i="18" s="1"/>
  <c r="M30" i="18" s="1"/>
  <c r="T30" i="18" s="1"/>
  <c r="Y30" i="18" s="1"/>
  <c r="B31" i="18"/>
  <c r="H31" i="18" s="1"/>
  <c r="M31" i="18" s="1"/>
  <c r="T31" i="18" s="1"/>
  <c r="Y31" i="18" s="1"/>
  <c r="B32" i="18"/>
  <c r="H32" i="18" s="1"/>
  <c r="M32" i="18" s="1"/>
  <c r="T32" i="18" s="1"/>
  <c r="Y32" i="18" s="1"/>
  <c r="B33" i="18"/>
  <c r="H33" i="18" s="1"/>
  <c r="M33" i="18" s="1"/>
  <c r="T33" i="18" s="1"/>
  <c r="Y33" i="18" s="1"/>
  <c r="B34" i="18"/>
  <c r="H34" i="18" s="1"/>
  <c r="M34" i="18" s="1"/>
  <c r="T34" i="18" s="1"/>
  <c r="Y34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6" i="3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J5" i="10"/>
  <c r="P5" i="10" s="1"/>
  <c r="H5" i="10"/>
  <c r="I5" i="10" s="1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F42" i="15"/>
  <c r="E42" i="15"/>
  <c r="L36" i="11"/>
  <c r="L34" i="11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J36" i="23" s="1"/>
  <c r="D35" i="18"/>
  <c r="B35" i="18"/>
  <c r="H35" i="18" s="1"/>
  <c r="M35" i="18" s="1"/>
  <c r="T35" i="18" s="1"/>
  <c r="Y35" i="18" s="1"/>
  <c r="A35" i="18"/>
  <c r="V34" i="18"/>
  <c r="X34" i="18" s="1"/>
  <c r="J35" i="23" s="1"/>
  <c r="D34" i="18"/>
  <c r="F34" i="18" s="1"/>
  <c r="I35" i="23" s="1"/>
  <c r="V33" i="18"/>
  <c r="X33" i="18" s="1"/>
  <c r="J34" i="23" s="1"/>
  <c r="D33" i="18"/>
  <c r="F33" i="18" s="1"/>
  <c r="I34" i="23" s="1"/>
  <c r="V32" i="18"/>
  <c r="D32" i="18"/>
  <c r="F32" i="18" s="1"/>
  <c r="I33" i="23" s="1"/>
  <c r="V31" i="18"/>
  <c r="D31" i="18"/>
  <c r="F31" i="18" s="1"/>
  <c r="I32" i="23" s="1"/>
  <c r="V30" i="18"/>
  <c r="X30" i="18" s="1"/>
  <c r="J31" i="23" s="1"/>
  <c r="D30" i="18"/>
  <c r="F30" i="18" s="1"/>
  <c r="I31" i="23" s="1"/>
  <c r="V29" i="18"/>
  <c r="X29" i="18" s="1"/>
  <c r="J30" i="23" s="1"/>
  <c r="D29" i="18"/>
  <c r="F29" i="18" s="1"/>
  <c r="I30" i="23" s="1"/>
  <c r="V28" i="18"/>
  <c r="X28" i="18" s="1"/>
  <c r="J29" i="23" s="1"/>
  <c r="D28" i="18"/>
  <c r="F28" i="18" s="1"/>
  <c r="I29" i="23" s="1"/>
  <c r="V27" i="18"/>
  <c r="X27" i="18" s="1"/>
  <c r="J28" i="23" s="1"/>
  <c r="D27" i="18"/>
  <c r="F27" i="18" s="1"/>
  <c r="I28" i="23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I25" i="23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T12" i="18" s="1"/>
  <c r="Y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D8" i="18"/>
  <c r="F8" i="18" s="1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5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4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3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2" i="23" s="1"/>
  <c r="Y33" i="13"/>
  <c r="Z33" i="13" s="1"/>
  <c r="AA33" i="13" s="1"/>
  <c r="U33" i="13"/>
  <c r="V33" i="13" s="1"/>
  <c r="Q33" i="13"/>
  <c r="R33" i="13" s="1"/>
  <c r="AE32" i="13"/>
  <c r="H32" i="14" s="1"/>
  <c r="AC32" i="13"/>
  <c r="H31" i="23" s="1"/>
  <c r="Y32" i="13"/>
  <c r="Z32" i="13" s="1"/>
  <c r="AA32" i="13" s="1"/>
  <c r="U32" i="13"/>
  <c r="V32" i="13" s="1"/>
  <c r="Q32" i="13"/>
  <c r="R32" i="13" s="1"/>
  <c r="AE31" i="13"/>
  <c r="H31" i="14" s="1"/>
  <c r="AC31" i="13"/>
  <c r="H30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9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8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G35" i="23" s="1"/>
  <c r="S36" i="3"/>
  <c r="O36" i="3"/>
  <c r="L36" i="3"/>
  <c r="I36" i="3"/>
  <c r="F36" i="3"/>
  <c r="C36" i="3"/>
  <c r="AK35" i="3"/>
  <c r="AE35" i="3"/>
  <c r="Y35" i="3"/>
  <c r="V35" i="3"/>
  <c r="AN35" i="3"/>
  <c r="G34" i="23" s="1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G33" i="23" s="1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G32" i="23" s="1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G31" i="23" s="1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AN24" i="3"/>
  <c r="G23" i="23" s="1"/>
  <c r="N20" i="25"/>
  <c r="L20" i="25"/>
  <c r="M20" i="25"/>
  <c r="F24" i="3"/>
  <c r="C24" i="3"/>
  <c r="AK23" i="3"/>
  <c r="AE23" i="3"/>
  <c r="Y23" i="3"/>
  <c r="V23" i="3"/>
  <c r="AN23" i="3"/>
  <c r="G22" i="23" s="1"/>
  <c r="N19" i="25"/>
  <c r="L19" i="25"/>
  <c r="M19" i="25"/>
  <c r="C23" i="3"/>
  <c r="AK22" i="3"/>
  <c r="AE22" i="3"/>
  <c r="Y22" i="3"/>
  <c r="V22" i="3"/>
  <c r="AN22" i="3"/>
  <c r="G21" i="23" s="1"/>
  <c r="N18" i="25"/>
  <c r="L18" i="25"/>
  <c r="M18" i="25"/>
  <c r="C22" i="3"/>
  <c r="AK21" i="3"/>
  <c r="AE21" i="3"/>
  <c r="Y21" i="3"/>
  <c r="V21" i="3"/>
  <c r="AN21" i="3"/>
  <c r="G20" i="23" s="1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V14" i="3"/>
  <c r="N10" i="25"/>
  <c r="L10" i="25"/>
  <c r="M10" i="25"/>
  <c r="K13" i="11"/>
  <c r="C14" i="3"/>
  <c r="AK13" i="3"/>
  <c r="Y13" i="3"/>
  <c r="V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R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T5" i="10" l="1"/>
  <c r="S37" i="14"/>
  <c r="H34" i="24"/>
  <c r="H36" i="23"/>
  <c r="S23" i="14"/>
  <c r="AU39" i="1"/>
  <c r="D40" i="1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2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I36" i="23" s="1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J35" i="15"/>
  <c r="J32" i="15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AI18" i="13"/>
  <c r="AJ19" i="13" s="1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J34" i="15"/>
  <c r="J37" i="15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J10" i="15"/>
  <c r="J29" i="15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J40" i="15"/>
  <c r="J39" i="15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J38" i="15"/>
  <c r="J30" i="15"/>
  <c r="J33" i="15"/>
  <c r="G42" i="15"/>
  <c r="R34" i="18"/>
  <c r="R32" i="18"/>
  <c r="E7" i="13"/>
  <c r="AI6" i="13"/>
  <c r="S8" i="10" l="1"/>
  <c r="Z8" i="10" s="1"/>
  <c r="AU40" i="1"/>
  <c r="D41" i="1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AU41" i="1" l="1"/>
  <c r="D42" i="1"/>
  <c r="F39" i="14"/>
  <c r="U9" i="10"/>
  <c r="X10" i="10"/>
  <c r="T9" i="10"/>
  <c r="S9" i="10"/>
  <c r="Z9" i="10" s="1"/>
  <c r="R9" i="10"/>
  <c r="V8" i="10"/>
  <c r="W8" i="10" s="1"/>
  <c r="F8" i="13"/>
  <c r="E9" i="13"/>
  <c r="G8" i="13"/>
  <c r="D43" i="1" l="1"/>
  <c r="AU43" i="1" s="1"/>
  <c r="AU42" i="1"/>
  <c r="V9" i="10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V24" i="10" s="1"/>
  <c r="W24" i="10" s="1"/>
  <c r="F23" i="13"/>
  <c r="E24" i="13"/>
  <c r="G23" i="13"/>
  <c r="X26" i="10" l="1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2" i="25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I12" i="24"/>
  <c r="E11" i="25" s="1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9" i="23"/>
  <c r="B30" i="23"/>
  <c r="B31" i="23"/>
  <c r="B32" i="23"/>
  <c r="B33" i="23"/>
  <c r="B34" i="23"/>
  <c r="B35" i="23"/>
  <c r="B5" i="23"/>
  <c r="F30" i="25" l="1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I5" i="24"/>
  <c r="E4" i="25" s="1"/>
  <c r="I7" i="24"/>
  <c r="E6" i="25" s="1"/>
  <c r="I9" i="24"/>
  <c r="E8" i="25" s="1"/>
  <c r="I13" i="24"/>
  <c r="E12" i="25" s="1"/>
  <c r="I15" i="24"/>
  <c r="E14" i="25" s="1"/>
  <c r="F2" i="25" l="1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I18" i="24"/>
  <c r="E17" i="25" s="1"/>
  <c r="H26" i="24"/>
  <c r="K25" i="25" s="1"/>
  <c r="I8" i="24"/>
  <c r="E7" i="25" s="1"/>
  <c r="I4" i="24"/>
  <c r="E3" i="25" s="1"/>
  <c r="I25" i="24"/>
  <c r="E24" i="25" s="1"/>
  <c r="I21" i="24"/>
  <c r="E20" i="25" s="1"/>
  <c r="I17" i="24"/>
  <c r="E16" i="25" s="1"/>
  <c r="H25" i="24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2" i="26"/>
  <c r="I14" i="2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G27" i="25"/>
  <c r="F27" i="26"/>
  <c r="G7" i="25"/>
  <c r="F7" i="26"/>
  <c r="G4" i="25"/>
  <c r="F4" i="26"/>
  <c r="G20" i="25"/>
  <c r="F20" i="26"/>
  <c r="G25" i="25"/>
  <c r="F25" i="26"/>
  <c r="G22" i="25"/>
  <c r="F22" i="26"/>
  <c r="G8" i="25"/>
  <c r="F8" i="26"/>
  <c r="G3" i="25"/>
  <c r="F3" i="26"/>
  <c r="G21" i="25"/>
  <c r="F21" i="26"/>
  <c r="G15" i="25"/>
  <c r="F15" i="26"/>
  <c r="G11" i="25"/>
  <c r="F11" i="26"/>
  <c r="G17" i="25"/>
  <c r="F17" i="26"/>
  <c r="G14" i="25"/>
  <c r="F14" i="26"/>
  <c r="G24" i="25"/>
  <c r="F24" i="26"/>
  <c r="G30" i="25"/>
  <c r="F30" i="26"/>
  <c r="G28" i="25"/>
  <c r="F28" i="26"/>
  <c r="G31" i="25"/>
  <c r="G18" i="25"/>
  <c r="F18" i="26"/>
  <c r="G5" i="25"/>
  <c r="F5" i="26"/>
  <c r="G26" i="25"/>
  <c r="F26" i="26"/>
  <c r="G16" i="25"/>
  <c r="F16" i="26"/>
  <c r="G12" i="25"/>
  <c r="F12" i="26"/>
  <c r="G23" i="25"/>
  <c r="F23" i="26"/>
  <c r="G9" i="25"/>
  <c r="F9" i="26"/>
  <c r="G6" i="25"/>
  <c r="F6" i="26"/>
  <c r="L2" i="26"/>
  <c r="G2" i="25"/>
  <c r="G19" i="25"/>
  <c r="F19" i="26"/>
  <c r="G13" i="25"/>
  <c r="F13" i="26"/>
  <c r="G10" i="25"/>
  <c r="F10" i="26"/>
  <c r="I31" i="24"/>
  <c r="E30" i="25" s="1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 i="3"/>
  <c r="G15" i="23" s="1"/>
  <c r="AN20" i="3"/>
  <c r="AN17" i="3"/>
  <c r="AN12" i="3"/>
  <c r="G11" i="23" s="1"/>
  <c r="AN18" i="3"/>
  <c r="G17" i="23" s="1"/>
  <c r="AN11" i="3"/>
  <c r="AN15" i="3"/>
  <c r="U38" i="3"/>
  <c r="AN38" i="3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 i="25"/>
  <c r="W10" i="25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i="23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i="23" l="1"/>
  <c r="H14" i="13"/>
  <c r="J13" i="11"/>
  <c r="E14" i="23" l="1"/>
  <c r="H15" i="13"/>
  <c r="J14" i="11"/>
  <c r="H16" i="13" l="1"/>
  <c r="J15" i="11"/>
  <c r="E15" i="23"/>
  <c r="E16" i="23" l="1"/>
  <c r="J16" i="11"/>
  <c r="H17" i="13"/>
  <c r="H18" i="13" l="1"/>
  <c r="J17" i="11"/>
  <c r="E17" i="23"/>
  <c r="E18" i="23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i="23" l="1"/>
  <c r="H26" i="13"/>
  <c r="J25" i="11"/>
  <c r="E26" i="23" l="1"/>
  <c r="J26" i="11"/>
  <c r="H27" i="13"/>
  <c r="H28" i="13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i="13" l="1"/>
  <c r="J31" i="11"/>
  <c r="E31" i="23"/>
  <c r="E32" i="23" l="1"/>
  <c r="H33" i="13"/>
  <c r="J32" i="11"/>
  <c r="H34" i="13" l="1"/>
  <c r="J33" i="11"/>
  <c r="E33" i="23"/>
  <c r="E34" i="23" l="1"/>
  <c r="J34" i="11"/>
  <c r="H35" i="13"/>
  <c r="H36" i="13" l="1"/>
  <c r="J35" i="11"/>
  <c r="E35" i="23"/>
  <c r="E36" i="23" l="1"/>
  <c r="J36" i="11"/>
</calcChain>
</file>

<file path=xl/sharedStrings.xml><?xml version="1.0" encoding="utf-8"?>
<sst xmlns="http://schemas.openxmlformats.org/spreadsheetml/2006/main" count="570" uniqueCount="343">
  <si>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</si>
  <si>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</si>
  <si>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</si>
  <si>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</si>
  <si>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</si>
  <si>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</si>
  <si>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</si>
  <si>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</si>
  <si>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</si>
  <si>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</si>
  <si>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</si>
  <si>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</si>
  <si>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</si>
  <si>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</si>
  <si>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</si>
  <si>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</si>
  <si>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</si>
  <si>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</si>
  <si>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</si>
  <si>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</si>
  <si>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</si>
  <si>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</si>
  <si>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</si>
  <si>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</si>
  <si>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</si>
  <si>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</si>
  <si>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</si>
  <si>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</si>
  <si>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</si>
  <si>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</si>
  <si>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</si>
  <si>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</si>
  <si>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</si>
  <si>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</si>
  <si>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</si>
  <si>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</si>
  <si>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</si>
  <si>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</si>
  <si>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</si>
  <si>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</si>
  <si>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</si>
  <si>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</si>
  <si>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</si>
  <si>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</si>
  <si>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</si>
  <si>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</si>
  <si>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</si>
  <si>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</si>
  <si>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</si>
  <si>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</si>
  <si>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</si>
  <si>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</si>
  <si>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</si>
  <si>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</si>
  <si>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</si>
  <si>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</si>
  <si>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</si>
  <si>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</si>
  <si>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</si>
  <si>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</si>
  <si>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</si>
  <si>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</si>
  <si>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</si>
  <si>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</si>
  <si>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</si>
  <si>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</si>
  <si>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</si>
  <si>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</si>
  <si>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</si>
  <si>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</si>
  <si>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</si>
  <si>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</si>
  <si>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</si>
  <si>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</si>
  <si>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</si>
  <si>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</si>
  <si>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</si>
  <si>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</si>
  <si>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</si>
  <si>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</si>
  <si>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</si>
  <si>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</si>
  <si>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</si>
  <si>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</si>
  <si>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</si>
  <si>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</si>
  <si>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</si>
  <si>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</si>
  <si>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</si>
  <si>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</si>
  <si>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</si>
  <si>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</si>
  <si>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</si>
  <si>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</si>
  <si>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</si>
  <si>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</si>
  <si>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</si>
  <si>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</si>
  <si>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</si>
  <si>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</si>
  <si>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</si>
  <si>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</si>
  <si>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</si>
  <si>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</si>
  <si>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</si>
  <si>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</si>
  <si>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</si>
  <si>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</si>
  <si>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</si>
  <si>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</si>
  <si>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</si>
  <si>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</si>
  <si>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</si>
  <si>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</si>
  <si>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</si>
  <si>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</si>
  <si>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</si>
  <si>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</si>
  <si>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</si>
  <si>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</si>
  <si>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</si>
  <si>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</si>
  <si>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</si>
  <si>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</si>
  <si>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</si>
  <si>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</si>
  <si>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</si>
  <si>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</si>
  <si>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</si>
  <si>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</si>
  <si>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</si>
  <si>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</si>
  <si>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</si>
  <si>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</si>
  <si>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</si>
  <si>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</si>
  <si>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</si>
  <si>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</si>
  <si>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</si>
  <si>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</si>
  <si>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</si>
  <si>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</si>
  <si>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</si>
  <si>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</si>
  <si>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</si>
  <si>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</si>
  <si>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</si>
  <si>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</si>
  <si>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</si>
  <si>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</si>
  <si>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</si>
  <si>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</si>
  <si>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</si>
  <si>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</si>
  <si>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</si>
  <si>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</si>
  <si>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</si>
  <si>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</si>
  <si>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</si>
  <si>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</si>
  <si>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</si>
  <si>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</si>
  <si>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</si>
  <si>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</si>
  <si>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</si>
  <si>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</si>
  <si>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</si>
  <si>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</si>
  <si>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</si>
  <si>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</si>
  <si>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</si>
  <si>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</si>
  <si>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</si>
  <si>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</si>
  <si>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</si>
  <si>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</si>
  <si>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</si>
  <si>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</si>
  <si>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</si>
  <si>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</si>
  <si>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</si>
  <si>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</si>
  <si>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</si>
  <si>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</si>
  <si>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</si>
  <si>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</si>
  <si>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</si>
  <si>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</si>
  <si>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</si>
  <si>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</si>
  <si>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</si>
  <si>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</si>
  <si>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</si>
  <si>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</si>
  <si>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</si>
  <si>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</si>
  <si>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</si>
  <si>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</si>
  <si>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</si>
  <si>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</si>
  <si>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</si>
  <si>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</si>
  <si>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</si>
  <si>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</si>
  <si>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</si>
  <si>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</si>
  <si>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</si>
  <si>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</si>
  <si>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</si>
  <si>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</si>
  <si>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</si>
  <si>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</si>
  <si>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</si>
  <si>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</si>
  <si>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</si>
  <si>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</si>
  <si>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</si>
  <si>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</si>
  <si>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</si>
  <si>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</si>
  <si>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</si>
  <si>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</si>
  <si>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</si>
  <si>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</si>
  <si>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</si>
  <si>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</si>
  <si>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</si>
  <si>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</si>
  <si>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</si>
  <si>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</si>
  <si>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</si>
  <si>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</si>
  <si>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</si>
  <si>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</si>
  <si>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</si>
  <si>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</si>
  <si>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</si>
  <si>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</si>
  <si>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</si>
  <si>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</si>
  <si>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</si>
  <si>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</si>
  <si>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</si>
  <si>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</si>
  <si>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</si>
  <si>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</si>
  <si>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</si>
  <si>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</si>
  <si>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</si>
  <si>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</si>
  <si>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</si>
  <si>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</si>
  <si>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</si>
  <si>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</si>
  <si>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</si>
  <si>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</si>
  <si>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</si>
  <si>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</si>
  <si>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</si>
  <si>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</si>
  <si>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</si>
  <si>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</si>
  <si>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</si>
  <si>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</si>
  <si>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</si>
  <si>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</si>
  <si>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</si>
  <si>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</si>
  <si>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</si>
  <si>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</si>
  <si>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</si>
  <si>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</si>
  <si>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</si>
  <si>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</si>
  <si>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</si>
  <si>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</si>
  <si>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</si>
  <si>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</si>
  <si>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</si>
  <si>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</si>
  <si>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</si>
  <si>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</si>
  <si>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</si>
  <si>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</si>
  <si>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</si>
  <si>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</si>
  <si>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</si>
  <si>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</si>
  <si>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</si>
  <si>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</si>
  <si>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</si>
  <si>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</si>
  <si>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</si>
  <si>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</si>
  <si>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</si>
  <si>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</si>
  <si>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</si>
  <si>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</si>
  <si>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</si>
  <si>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</si>
  <si>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</si>
  <si>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</si>
  <si>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</si>
  <si>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</si>
  <si>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</si>
  <si>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</si>
  <si>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</si>
  <si>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</si>
  <si>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</si>
  <si>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</si>
  <si>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</si>
  <si>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</si>
  <si>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</si>
  <si>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</si>
  <si>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</si>
  <si>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</si>
  <si>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</si>
  <si>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Generator and Diseal Summry Report  October 2020</t>
  </si>
  <si>
    <t>Cash paid</t>
  </si>
  <si>
    <t>Puma</t>
  </si>
  <si>
    <t>HLP REPORT OCTOBER 2020</t>
  </si>
  <si>
    <t>DAILY UTILITY REPORT NOVEMBER 2020</t>
  </si>
  <si>
    <t>Raha</t>
  </si>
  <si>
    <t>T364AHF</t>
  </si>
  <si>
    <t>T880DKQ</t>
  </si>
  <si>
    <t>Kessi</t>
  </si>
  <si>
    <t>T391DQR</t>
  </si>
  <si>
    <t>Gudluck</t>
  </si>
  <si>
    <t>T132CWQ</t>
  </si>
  <si>
    <t>Dolnad</t>
  </si>
  <si>
    <t>Osmn</t>
  </si>
  <si>
    <t>T391DRQ</t>
  </si>
  <si>
    <t>Nuru</t>
  </si>
  <si>
    <t>T111CWQ</t>
  </si>
  <si>
    <t>Eliakim</t>
  </si>
  <si>
    <t>Siraji</t>
  </si>
  <si>
    <t>Mosses</t>
  </si>
  <si>
    <t>Huruma</t>
  </si>
  <si>
    <t>VODACOM TOWER METER READING</t>
  </si>
  <si>
    <t>AIRTEL TOWER METER READING</t>
  </si>
  <si>
    <t>TANK C</t>
  </si>
  <si>
    <t>TANK B</t>
  </si>
  <si>
    <t>TANK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</si>
</sst>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101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43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43" fontId="0" fillId="16" borderId="0" xfId="0" applyNumberFormat="1" applyFill="1" applyBorder="1"/>
    <xf numFmtId="0" fontId="0" fillId="16" borderId="0" xfId="0" applyFill="1" applyBorder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43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43" fontId="15" fillId="11" borderId="26" xfId="1" applyNumberFormat="1" applyFont="1" applyFill="1" applyBorder="1" applyAlignment="1">
      <alignment horizontal="center"/>
    </xf>
    <xf numFmtId="43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43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0" fontId="1" fillId="0" borderId="0" xfId="4" applyFont="1" applyBorder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5" xfId="1" applyNumberFormat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16" fillId="0" borderId="80" xfId="1" applyFont="1" applyBorder="1" applyAlignment="1">
      <alignment horizontal="center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0" borderId="63" xfId="1" applyFont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16" borderId="0" xfId="0" applyFont="1" applyFill="1"/>
    <xf numFmtId="0" fontId="10" fillId="8" borderId="30" xfId="0" applyFont="1" applyFill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11" borderId="32" xfId="0" applyFill="1" applyBorder="1" applyAlignment="1">
      <alignment horizontal="center"/>
    </xf>
    <xf numFmtId="0" fontId="0" fillId="11" borderId="33" xfId="0" applyFill="1" applyBorder="1" applyAlignment="1">
      <alignment horizontal="center" wrapText="1"/>
    </xf>
    <xf numFmtId="0" fontId="0" fillId="11" borderId="61" xfId="0" applyFill="1" applyBorder="1" applyAlignment="1">
      <alignment horizontal="center" wrapText="1"/>
    </xf>
    <xf numFmtId="14" fontId="0" fillId="0" borderId="3" xfId="0" applyNumberFormat="1" applyBorder="1" applyAlignment="1">
      <alignment horizontal="center"/>
    </xf>
    <xf numFmtId="0" fontId="0" fillId="34" borderId="40" xfId="0" applyFill="1" applyBorder="1" applyAlignment="1">
      <alignment horizontal="center" wrapText="1"/>
    </xf>
    <xf numFmtId="0" fontId="0" fillId="10" borderId="26" xfId="0" applyFill="1" applyBorder="1" applyAlignment="1">
      <alignment horizontal="center" wrapText="1"/>
    </xf>
    <xf numFmtId="0" fontId="0" fillId="35" borderId="26" xfId="0" applyFill="1" applyBorder="1" applyAlignment="1">
      <alignment horizontal="center" wrapText="1"/>
    </xf>
    <xf numFmtId="0" fontId="0" fillId="16" borderId="26" xfId="0" applyFill="1" applyBorder="1" applyAlignment="1">
      <alignment horizontal="center"/>
    </xf>
    <xf numFmtId="0" fontId="0" fillId="28" borderId="49" xfId="0" applyFill="1" applyBorder="1" applyAlignment="1">
      <alignment horizontal="center" wrapText="1"/>
    </xf>
    <xf numFmtId="14" fontId="0" fillId="0" borderId="43" xfId="0" applyNumberFormat="1" applyBorder="1" applyAlignment="1">
      <alignment horizontal="center"/>
    </xf>
    <xf numFmtId="14" fontId="0" fillId="0" borderId="44" xfId="0" applyNumberFormat="1" applyBorder="1" applyAlignment="1">
      <alignment horizontal="center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5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9" fontId="66" fillId="0" borderId="1" xfId="0" applyNumberFormat="1" applyFont="1" applyFill="1" applyBorder="1" applyAlignment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6" fillId="0" borderId="20" xfId="0" applyFont="1" applyBorder="1" applyAlignment="1">
      <alignment horizontal="center"/>
    </xf>
    <xf numFmtId="0" fontId="56" fillId="0" borderId="53" xfId="0" applyFont="1" applyBorder="1" applyAlignment="1">
      <alignment horizontal="center"/>
    </xf>
    <xf numFmtId="0" fontId="56" fillId="0" borderId="56" xfId="0" applyFont="1" applyBorder="1" applyAlignment="1">
      <alignment horizontal="center"/>
    </xf>
    <xf numFmtId="0" fontId="56" fillId="0" borderId="5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0" fontId="50" fillId="0" borderId="57" xfId="0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29" fillId="0" borderId="51" xfId="0" applyFont="1" applyBorder="1" applyAlignment="1">
      <alignment horizontal="center"/>
    </xf>
    <xf numFmtId="0" fontId="29" fillId="0" borderId="48" xfId="0" applyFont="1" applyBorder="1" applyAlignment="1">
      <alignment horizontal="center"/>
    </xf>
    <xf numFmtId="0" fontId="29" fillId="0" borderId="50" xfId="0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45" fillId="0" borderId="35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9" fillId="11" borderId="34" xfId="0" applyFont="1" applyFill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0" fontId="9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43" fontId="0" fillId="0" borderId="26" xfId="0" applyNumberForma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2617</c:v>
                </c:pt>
                <c:pt idx="1">
                  <c:v>2592</c:v>
                </c:pt>
                <c:pt idx="2">
                  <c:v>2655</c:v>
                </c:pt>
                <c:pt idx="3">
                  <c:v>2595</c:v>
                </c:pt>
                <c:pt idx="4">
                  <c:v>2217</c:v>
                </c:pt>
                <c:pt idx="5">
                  <c:v>2479</c:v>
                </c:pt>
                <c:pt idx="6">
                  <c:v>2341</c:v>
                </c:pt>
                <c:pt idx="7">
                  <c:v>2360</c:v>
                </c:pt>
                <c:pt idx="8">
                  <c:v>2323</c:v>
                </c:pt>
                <c:pt idx="9">
                  <c:v>2283</c:v>
                </c:pt>
                <c:pt idx="10">
                  <c:v>2328</c:v>
                </c:pt>
                <c:pt idx="11">
                  <c:v>2362</c:v>
                </c:pt>
                <c:pt idx="12">
                  <c:v>2380</c:v>
                </c:pt>
                <c:pt idx="13">
                  <c:v>2337</c:v>
                </c:pt>
                <c:pt idx="14">
                  <c:v>2468</c:v>
                </c:pt>
                <c:pt idx="15">
                  <c:v>2266</c:v>
                </c:pt>
                <c:pt idx="16">
                  <c:v>2398</c:v>
                </c:pt>
                <c:pt idx="17">
                  <c:v>2587</c:v>
                </c:pt>
                <c:pt idx="18">
                  <c:v>2592</c:v>
                </c:pt>
                <c:pt idx="19">
                  <c:v>2673</c:v>
                </c:pt>
                <c:pt idx="20">
                  <c:v>2585</c:v>
                </c:pt>
                <c:pt idx="21">
                  <c:v>2587</c:v>
                </c:pt>
                <c:pt idx="22">
                  <c:v>2376</c:v>
                </c:pt>
                <c:pt idx="23">
                  <c:v>2258</c:v>
                </c:pt>
                <c:pt idx="24">
                  <c:v>2255</c:v>
                </c:pt>
                <c:pt idx="25">
                  <c:v>2395</c:v>
                </c:pt>
                <c:pt idx="26">
                  <c:v>0</c:v>
                </c:pt>
                <c:pt idx="27">
                  <c:v>2264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3010608"/>
        <c:axId val="733011152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5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5</c:v>
                </c:pt>
                <c:pt idx="11">
                  <c:v>7</c:v>
                </c:pt>
                <c:pt idx="12">
                  <c:v>15</c:v>
                </c:pt>
                <c:pt idx="13">
                  <c:v>13</c:v>
                </c:pt>
                <c:pt idx="14">
                  <c:v>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011696"/>
        <c:axId val="464886848"/>
      </c:lineChart>
      <c:catAx>
        <c:axId val="73301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011152"/>
        <c:crosses val="autoZero"/>
        <c:auto val="1"/>
        <c:lblAlgn val="ctr"/>
        <c:lblOffset val="100"/>
        <c:noMultiLvlLbl val="0"/>
      </c:catAx>
      <c:valAx>
        <c:axId val="73301115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010608"/>
        <c:crosses val="autoZero"/>
        <c:crossBetween val="between"/>
        <c:majorUnit val="200"/>
      </c:valAx>
      <c:catAx>
        <c:axId val="733011696"/>
        <c:scaling>
          <c:orientation val="minMax"/>
        </c:scaling>
        <c:delete val="1"/>
        <c:axPos val="b"/>
        <c:majorTickMark val="out"/>
        <c:minorTickMark val="none"/>
        <c:tickLblPos val="none"/>
        <c:crossAx val="464886848"/>
        <c:crosses val="autoZero"/>
        <c:auto val="1"/>
        <c:lblAlgn val="ctr"/>
        <c:lblOffset val="100"/>
        <c:noMultiLvlLbl val="0"/>
      </c:catAx>
      <c:valAx>
        <c:axId val="464886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33011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187264"/>
        <c:axId val="97217910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87808"/>
        <c:axId val="972176928"/>
      </c:lineChart>
      <c:catAx>
        <c:axId val="97218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79104"/>
        <c:crosses val="autoZero"/>
        <c:auto val="1"/>
        <c:lblAlgn val="ctr"/>
        <c:lblOffset val="100"/>
        <c:noMultiLvlLbl val="0"/>
      </c:catAx>
      <c:valAx>
        <c:axId val="97217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7264"/>
        <c:crosses val="autoZero"/>
        <c:crossBetween val="between"/>
        <c:majorUnit val="200"/>
      </c:valAx>
      <c:catAx>
        <c:axId val="972187808"/>
        <c:scaling>
          <c:orientation val="minMax"/>
        </c:scaling>
        <c:delete val="1"/>
        <c:axPos val="b"/>
        <c:majorTickMark val="out"/>
        <c:minorTickMark val="none"/>
        <c:tickLblPos val="none"/>
        <c:crossAx val="972176928"/>
        <c:crosses val="autoZero"/>
        <c:auto val="1"/>
        <c:lblAlgn val="ctr"/>
        <c:lblOffset val="100"/>
        <c:noMultiLvlLbl val="0"/>
      </c:catAx>
      <c:valAx>
        <c:axId val="972176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7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2264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181280"/>
        <c:axId val="972186176"/>
      </c:lineChart>
      <c:catAx>
        <c:axId val="97218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6176"/>
        <c:crosses val="autoZero"/>
        <c:auto val="1"/>
        <c:lblAlgn val="ctr"/>
        <c:lblOffset val="200"/>
        <c:tickLblSkip val="1"/>
        <c:noMultiLvlLbl val="0"/>
      </c:catAx>
      <c:valAx>
        <c:axId val="97218617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0.05</c:v>
                </c:pt>
                <c:pt idx="12">
                  <c:v>5.1900000000000002E-2</c:v>
                </c:pt>
                <c:pt idx="13">
                  <c:v>0.18179999999999999</c:v>
                </c:pt>
                <c:pt idx="14">
                  <c:v>0.1429</c:v>
                </c:pt>
                <c:pt idx="15">
                  <c:v>0.12989999999999999</c:v>
                </c:pt>
                <c:pt idx="16">
                  <c:v>0.03</c:v>
                </c:pt>
                <c:pt idx="17">
                  <c:v>0.104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6.5000000000000002E-2</c:v>
                </c:pt>
                <c:pt idx="21">
                  <c:v>0.1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3.9E-2</c:v>
                </c:pt>
                <c:pt idx="25">
                  <c:v>1.2999999999999999E-2</c:v>
                </c:pt>
                <c:pt idx="26">
                  <c:v>0.01</c:v>
                </c:pt>
                <c:pt idx="27">
                  <c:v>2.5999999999999999E-2</c:v>
                </c:pt>
                <c:pt idx="28">
                  <c:v>2.5999999999999999E-2</c:v>
                </c:pt>
                <c:pt idx="29">
                  <c:v>3.9E-2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82368"/>
        <c:axId val="972177472"/>
      </c:lineChart>
      <c:catAx>
        <c:axId val="97218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77472"/>
        <c:crosses val="autoZero"/>
        <c:auto val="1"/>
        <c:lblAlgn val="ctr"/>
        <c:lblOffset val="100"/>
        <c:noMultiLvlLbl val="0"/>
      </c:catAx>
      <c:valAx>
        <c:axId val="9721774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0.39587991718426502</c:v>
                </c:pt>
                <c:pt idx="1">
                  <c:v>0.42335498662590754</c:v>
                </c:pt>
                <c:pt idx="2">
                  <c:v>0.44945601851851841</c:v>
                </c:pt>
                <c:pt idx="3">
                  <c:v>0.39410546139359698</c:v>
                </c:pt>
                <c:pt idx="4">
                  <c:v>0.4077842003853564</c:v>
                </c:pt>
                <c:pt idx="5">
                  <c:v>0.44646820027063594</c:v>
                </c:pt>
                <c:pt idx="6">
                  <c:v>0.38424768051633723</c:v>
                </c:pt>
                <c:pt idx="7">
                  <c:v>0.4376591200341734</c:v>
                </c:pt>
                <c:pt idx="8">
                  <c:v>0.44400423728813554</c:v>
                </c:pt>
                <c:pt idx="9">
                  <c:v>0.40174343521308653</c:v>
                </c:pt>
                <c:pt idx="10">
                  <c:v>0.41271572492334646</c:v>
                </c:pt>
                <c:pt idx="11">
                  <c:v>0.46518900343642611</c:v>
                </c:pt>
                <c:pt idx="12">
                  <c:v>0.40613463166807789</c:v>
                </c:pt>
                <c:pt idx="13">
                  <c:v>0.40457563025210086</c:v>
                </c:pt>
                <c:pt idx="14">
                  <c:v>0.4514634146341463</c:v>
                </c:pt>
                <c:pt idx="15">
                  <c:v>0.45771880064829823</c:v>
                </c:pt>
                <c:pt idx="16">
                  <c:v>0.40996469549867609</c:v>
                </c:pt>
                <c:pt idx="17">
                  <c:v>0.41586321934945786</c:v>
                </c:pt>
                <c:pt idx="18">
                  <c:v>0.40265558562040976</c:v>
                </c:pt>
                <c:pt idx="19">
                  <c:v>0.38775462962962964</c:v>
                </c:pt>
                <c:pt idx="20">
                  <c:v>0.41355780022446692</c:v>
                </c:pt>
                <c:pt idx="21">
                  <c:v>0.40388394584139264</c:v>
                </c:pt>
                <c:pt idx="22">
                  <c:v>0.41547738693467334</c:v>
                </c:pt>
                <c:pt idx="23">
                  <c:v>0.42898569023569022</c:v>
                </c:pt>
                <c:pt idx="24">
                  <c:v>0.43357838795394155</c:v>
                </c:pt>
                <c:pt idx="25">
                  <c:v>0.4116008869179601</c:v>
                </c:pt>
                <c:pt idx="26">
                  <c:v>0.42654697286012527</c:v>
                </c:pt>
                <c:pt idx="27">
                  <c:v>0</c:v>
                </c:pt>
                <c:pt idx="28">
                  <c:v>0.42375000000000002</c:v>
                </c:pt>
                <c:pt idx="29">
                  <c:v>0</c:v>
                </c:pt>
                <c:pt idx="30">
                  <c:v>0.42375000000000002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78016"/>
        <c:axId val="972178560"/>
      </c:lineChart>
      <c:catAx>
        <c:axId val="97217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78560"/>
        <c:crosses val="autoZero"/>
        <c:auto val="1"/>
        <c:lblAlgn val="ctr"/>
        <c:lblOffset val="100"/>
        <c:noMultiLvlLbl val="0"/>
      </c:catAx>
      <c:valAx>
        <c:axId val="9721785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78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63</c:v>
                </c:pt>
                <c:pt idx="11">
                  <c:v>48</c:v>
                </c:pt>
                <c:pt idx="12">
                  <c:v>62</c:v>
                </c:pt>
                <c:pt idx="13">
                  <c:v>52</c:v>
                </c:pt>
                <c:pt idx="14">
                  <c:v>78</c:v>
                </c:pt>
                <c:pt idx="15">
                  <c:v>52</c:v>
                </c:pt>
                <c:pt idx="16">
                  <c:v>53</c:v>
                </c:pt>
                <c:pt idx="17">
                  <c:v>51</c:v>
                </c:pt>
                <c:pt idx="18">
                  <c:v>127</c:v>
                </c:pt>
                <c:pt idx="19">
                  <c:v>46</c:v>
                </c:pt>
                <c:pt idx="20">
                  <c:v>47</c:v>
                </c:pt>
                <c:pt idx="21">
                  <c:v>51</c:v>
                </c:pt>
                <c:pt idx="22">
                  <c:v>61</c:v>
                </c:pt>
                <c:pt idx="23">
                  <c:v>49</c:v>
                </c:pt>
                <c:pt idx="24">
                  <c:v>50</c:v>
                </c:pt>
                <c:pt idx="25">
                  <c:v>56</c:v>
                </c:pt>
                <c:pt idx="26">
                  <c:v>47</c:v>
                </c:pt>
                <c:pt idx="27">
                  <c:v>45</c:v>
                </c:pt>
                <c:pt idx="28">
                  <c:v>62</c:v>
                </c:pt>
                <c:pt idx="29">
                  <c:v>46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173120"/>
        <c:axId val="972184544"/>
      </c:lineChart>
      <c:catAx>
        <c:axId val="97217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4544"/>
        <c:crosses val="autoZero"/>
        <c:auto val="1"/>
        <c:lblAlgn val="ctr"/>
        <c:lblOffset val="100"/>
        <c:noMultiLvlLbl val="0"/>
      </c:catAx>
      <c:valAx>
        <c:axId val="972184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73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54.163999999989763</c:v>
                </c:pt>
                <c:pt idx="12">
                  <c:v>68.508000000030734</c:v>
                </c:pt>
                <c:pt idx="13">
                  <c:v>69.343999999976958</c:v>
                </c:pt>
                <c:pt idx="14">
                  <c:v>95.392000000033306</c:v>
                </c:pt>
                <c:pt idx="15">
                  <c:v>82.763999999989764</c:v>
                </c:pt>
                <c:pt idx="16">
                  <c:v>77.572000000020495</c:v>
                </c:pt>
                <c:pt idx="17">
                  <c:v>75.283999999938544</c:v>
                </c:pt>
                <c:pt idx="18">
                  <c:v>73.524000000028181</c:v>
                </c:pt>
                <c:pt idx="19">
                  <c:v>99.175999999971836</c:v>
                </c:pt>
                <c:pt idx="20">
                  <c:v>85.360000000038426</c:v>
                </c:pt>
                <c:pt idx="21">
                  <c:v>86.547999999992328</c:v>
                </c:pt>
                <c:pt idx="22">
                  <c:v>65.73600000001025</c:v>
                </c:pt>
                <c:pt idx="23">
                  <c:v>64.107999999966708</c:v>
                </c:pt>
                <c:pt idx="24">
                  <c:v>80.344000000040978</c:v>
                </c:pt>
                <c:pt idx="25">
                  <c:v>78.71599999999745</c:v>
                </c:pt>
                <c:pt idx="26">
                  <c:v>42.371999999956465</c:v>
                </c:pt>
                <c:pt idx="27">
                  <c:v>67.71599999999745</c:v>
                </c:pt>
                <c:pt idx="28">
                  <c:v>28.996000000048664</c:v>
                </c:pt>
                <c:pt idx="29">
                  <c:v>67.847999999992325</c:v>
                </c:pt>
                <c:pt idx="30">
                  <c:v>-323055.43600000005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185632"/>
        <c:axId val="972182912"/>
      </c:lineChart>
      <c:catAx>
        <c:axId val="97218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2912"/>
        <c:crosses val="autoZero"/>
        <c:auto val="1"/>
        <c:lblAlgn val="ctr"/>
        <c:lblOffset val="100"/>
        <c:noMultiLvlLbl val="0"/>
      </c:catAx>
      <c:valAx>
        <c:axId val="972182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180192"/>
        <c:axId val="972180736"/>
      </c:lineChart>
      <c:catAx>
        <c:axId val="97218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0736"/>
        <c:crosses val="autoZero"/>
        <c:auto val="1"/>
        <c:lblAlgn val="ctr"/>
        <c:lblOffset val="100"/>
        <c:noMultiLvlLbl val="0"/>
      </c:catAx>
      <c:valAx>
        <c:axId val="97218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18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2264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361648"/>
        <c:axId val="979350768"/>
      </c:lineChart>
      <c:catAx>
        <c:axId val="979361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0768"/>
        <c:crosses val="autoZero"/>
        <c:auto val="1"/>
        <c:lblAlgn val="ctr"/>
        <c:lblOffset val="100"/>
        <c:noMultiLvlLbl val="0"/>
      </c:catAx>
      <c:valAx>
        <c:axId val="979350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6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038"/>
          <c:y val="7.4713247051115858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355664"/>
        <c:axId val="979353488"/>
      </c:lineChart>
      <c:catAx>
        <c:axId val="97935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3488"/>
        <c:crosses val="autoZero"/>
        <c:auto val="1"/>
        <c:lblAlgn val="ctr"/>
        <c:lblOffset val="200"/>
        <c:tickLblSkip val="1"/>
        <c:noMultiLvlLbl val="0"/>
      </c:catAx>
      <c:valAx>
        <c:axId val="9793534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55120"/>
        <c:axId val="979356752"/>
      </c:lineChart>
      <c:catAx>
        <c:axId val="97935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6752"/>
        <c:crosses val="autoZero"/>
        <c:auto val="1"/>
        <c:lblAlgn val="ctr"/>
        <c:lblOffset val="100"/>
        <c:noMultiLvlLbl val="0"/>
      </c:catAx>
      <c:valAx>
        <c:axId val="979356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5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60016"/>
        <c:axId val="979351312"/>
      </c:lineChart>
      <c:catAx>
        <c:axId val="97936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1312"/>
        <c:crosses val="autoZero"/>
        <c:auto val="1"/>
        <c:lblAlgn val="ctr"/>
        <c:lblOffset val="100"/>
        <c:noMultiLvlLbl val="0"/>
      </c:catAx>
      <c:valAx>
        <c:axId val="97935131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60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357840"/>
        <c:axId val="979364368"/>
      </c:lineChart>
      <c:catAx>
        <c:axId val="97935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64368"/>
        <c:crosses val="autoZero"/>
        <c:auto val="1"/>
        <c:lblAlgn val="ctr"/>
        <c:lblOffset val="100"/>
        <c:noMultiLvlLbl val="0"/>
      </c:catAx>
      <c:valAx>
        <c:axId val="97936436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358928"/>
        <c:axId val="979359472"/>
      </c:lineChart>
      <c:catAx>
        <c:axId val="979358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9472"/>
        <c:crosses val="autoZero"/>
        <c:auto val="1"/>
        <c:lblAlgn val="ctr"/>
        <c:lblOffset val="100"/>
        <c:noMultiLvlLbl val="0"/>
      </c:catAx>
      <c:valAx>
        <c:axId val="97935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5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F671-45E7-B3B5-C1690D4F9844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F671-45E7-B3B5-C1690D4F984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671-45E7-B3B5-C1690D4F984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671-45E7-B3B5-C1690D4F984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362736"/>
        <c:axId val="979363280"/>
      </c:lineChart>
      <c:catAx>
        <c:axId val="97936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63280"/>
        <c:crosses val="autoZero"/>
        <c:auto val="1"/>
        <c:lblAlgn val="ctr"/>
        <c:lblOffset val="100"/>
        <c:noMultiLvlLbl val="0"/>
      </c:catAx>
      <c:valAx>
        <c:axId val="979363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6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902240"/>
        <c:axId val="979895712"/>
      </c:lineChart>
      <c:catAx>
        <c:axId val="97990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5712"/>
        <c:crosses val="autoZero"/>
        <c:auto val="1"/>
        <c:lblAlgn val="ctr"/>
        <c:lblOffset val="100"/>
        <c:noMultiLvlLbl val="0"/>
      </c:catAx>
      <c:valAx>
        <c:axId val="979895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26"/>
          <c:y val="7.4713247051116247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891904"/>
        <c:axId val="97989027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897888"/>
        <c:axId val="979905504"/>
      </c:lineChart>
      <c:catAx>
        <c:axId val="97989190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0272"/>
        <c:crosses val="autoZero"/>
        <c:auto val="0"/>
        <c:lblAlgn val="ctr"/>
        <c:lblOffset val="100"/>
        <c:tickMarkSkip val="1"/>
        <c:noMultiLvlLbl val="0"/>
      </c:catAx>
      <c:valAx>
        <c:axId val="97989027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1904"/>
        <c:crosses val="autoZero"/>
        <c:crossBetween val="between"/>
      </c:valAx>
      <c:catAx>
        <c:axId val="97989788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979905504"/>
        <c:crosses val="autoZero"/>
        <c:auto val="0"/>
        <c:lblAlgn val="ctr"/>
        <c:lblOffset val="100"/>
        <c:noMultiLvlLbl val="0"/>
      </c:catAx>
      <c:valAx>
        <c:axId val="97990550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7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892448"/>
        <c:axId val="979901696"/>
      </c:lineChart>
      <c:catAx>
        <c:axId val="97989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01696"/>
        <c:crosses val="autoZero"/>
        <c:auto val="1"/>
        <c:lblAlgn val="ctr"/>
        <c:lblOffset val="100"/>
        <c:noMultiLvlLbl val="0"/>
      </c:catAx>
      <c:valAx>
        <c:axId val="979901696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890816"/>
        <c:axId val="979898976"/>
      </c:lineChart>
      <c:catAx>
        <c:axId val="97989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8976"/>
        <c:crosses val="autoZero"/>
        <c:auto val="1"/>
        <c:lblAlgn val="ctr"/>
        <c:lblOffset val="100"/>
        <c:noMultiLvlLbl val="0"/>
      </c:catAx>
      <c:valAx>
        <c:axId val="979898976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901152"/>
        <c:axId val="979893536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310-4F46-B73D-3FB9F8DA25B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310-4F46-B73D-3FB9F8DA25B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C310-4F46-B73D-3FB9F8DA25B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898432"/>
        <c:axId val="979894080"/>
      </c:lineChart>
      <c:catAx>
        <c:axId val="97990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3536"/>
        <c:crosses val="autoZero"/>
        <c:auto val="0"/>
        <c:lblAlgn val="ctr"/>
        <c:lblOffset val="100"/>
        <c:tickMarkSkip val="1"/>
        <c:noMultiLvlLbl val="0"/>
      </c:catAx>
      <c:valAx>
        <c:axId val="97989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01152"/>
        <c:crosses val="autoZero"/>
        <c:crossBetween val="between"/>
      </c:valAx>
      <c:catAx>
        <c:axId val="979898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79894080"/>
        <c:crosses val="autoZero"/>
        <c:auto val="0"/>
        <c:lblAlgn val="ctr"/>
        <c:lblOffset val="100"/>
        <c:noMultiLvlLbl val="0"/>
      </c:catAx>
      <c:valAx>
        <c:axId val="979894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8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F50F-40A0-9980-FD44E6BB7EC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F50F-40A0-9980-FD44E6BB7EC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F50F-40A0-9980-FD44E6BB7EC8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896256"/>
        <c:axId val="979896800"/>
      </c:lineChart>
      <c:catAx>
        <c:axId val="97989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6800"/>
        <c:crosses val="autoZero"/>
        <c:auto val="1"/>
        <c:lblAlgn val="ctr"/>
        <c:lblOffset val="100"/>
        <c:noMultiLvlLbl val="0"/>
      </c:catAx>
      <c:valAx>
        <c:axId val="979896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89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226288"/>
        <c:axId val="981227376"/>
      </c:lineChart>
      <c:catAx>
        <c:axId val="98122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7376"/>
        <c:crosses val="autoZero"/>
        <c:auto val="1"/>
        <c:lblAlgn val="ctr"/>
        <c:lblOffset val="100"/>
        <c:noMultiLvlLbl val="0"/>
      </c:catAx>
      <c:valAx>
        <c:axId val="98122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17584"/>
        <c:axId val="981230096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31184"/>
        <c:axId val="981219760"/>
      </c:lineChart>
      <c:catAx>
        <c:axId val="981217584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30096"/>
        <c:crosses val="autoZero"/>
        <c:auto val="0"/>
        <c:lblAlgn val="ctr"/>
        <c:lblOffset val="100"/>
        <c:tickMarkSkip val="1"/>
        <c:noMultiLvlLbl val="0"/>
      </c:catAx>
      <c:valAx>
        <c:axId val="9812300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17584"/>
        <c:crosses val="autoZero"/>
        <c:crossBetween val="between"/>
      </c:valAx>
      <c:catAx>
        <c:axId val="981231184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981219760"/>
        <c:crosses val="autoZero"/>
        <c:auto val="0"/>
        <c:lblAlgn val="ctr"/>
        <c:lblOffset val="100"/>
        <c:noMultiLvlLbl val="0"/>
      </c:catAx>
      <c:valAx>
        <c:axId val="9812197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311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30640"/>
        <c:axId val="981226832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23568"/>
        <c:axId val="981222480"/>
      </c:lineChart>
      <c:catAx>
        <c:axId val="9812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6832"/>
        <c:crosses val="autoZero"/>
        <c:auto val="0"/>
        <c:lblAlgn val="ctr"/>
        <c:lblOffset val="100"/>
        <c:tickMarkSkip val="1"/>
        <c:noMultiLvlLbl val="0"/>
      </c:catAx>
      <c:valAx>
        <c:axId val="981226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30640"/>
        <c:crosses val="autoZero"/>
        <c:crossBetween val="between"/>
      </c:valAx>
      <c:catAx>
        <c:axId val="981223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1222480"/>
        <c:crosses val="autoZero"/>
        <c:auto val="0"/>
        <c:lblAlgn val="ctr"/>
        <c:lblOffset val="100"/>
        <c:noMultiLvlLbl val="0"/>
      </c:catAx>
      <c:valAx>
        <c:axId val="9812224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3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21392"/>
        <c:axId val="981217040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25744"/>
        <c:axId val="981225200"/>
      </c:lineChart>
      <c:catAx>
        <c:axId val="981221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17040"/>
        <c:crosses val="autoZero"/>
        <c:auto val="0"/>
        <c:lblAlgn val="ctr"/>
        <c:lblOffset val="100"/>
        <c:tickMarkSkip val="1"/>
        <c:noMultiLvlLbl val="0"/>
      </c:catAx>
      <c:valAx>
        <c:axId val="98121704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1392"/>
        <c:crosses val="autoZero"/>
        <c:crossBetween val="between"/>
      </c:valAx>
      <c:catAx>
        <c:axId val="981225744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981225200"/>
        <c:crosses val="autoZero"/>
        <c:auto val="0"/>
        <c:lblAlgn val="ctr"/>
        <c:lblOffset val="100"/>
        <c:noMultiLvlLbl val="0"/>
      </c:catAx>
      <c:valAx>
        <c:axId val="98122520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57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21936"/>
        <c:axId val="981223024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18128"/>
        <c:axId val="981228464"/>
      </c:lineChart>
      <c:catAx>
        <c:axId val="9812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3024"/>
        <c:crosses val="autoZero"/>
        <c:auto val="0"/>
        <c:lblAlgn val="ctr"/>
        <c:lblOffset val="100"/>
        <c:tickMarkSkip val="1"/>
        <c:noMultiLvlLbl val="0"/>
      </c:catAx>
      <c:valAx>
        <c:axId val="981223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21936"/>
        <c:crosses val="autoZero"/>
        <c:crossBetween val="between"/>
      </c:valAx>
      <c:catAx>
        <c:axId val="981218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981228464"/>
        <c:crosses val="autoZero"/>
        <c:auto val="0"/>
        <c:lblAlgn val="ctr"/>
        <c:lblOffset val="100"/>
        <c:noMultiLvlLbl val="0"/>
      </c:catAx>
      <c:valAx>
        <c:axId val="9812284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18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0.39587991718426502</c:v>
                </c:pt>
                <c:pt idx="1">
                  <c:v>0.42335498662590754</c:v>
                </c:pt>
                <c:pt idx="2">
                  <c:v>0.44945601851851841</c:v>
                </c:pt>
                <c:pt idx="3">
                  <c:v>0.39410546139359698</c:v>
                </c:pt>
                <c:pt idx="4">
                  <c:v>0.4077842003853564</c:v>
                </c:pt>
                <c:pt idx="5">
                  <c:v>0.44646820027063594</c:v>
                </c:pt>
                <c:pt idx="6">
                  <c:v>0.38424768051633723</c:v>
                </c:pt>
                <c:pt idx="7">
                  <c:v>0.4376591200341734</c:v>
                </c:pt>
                <c:pt idx="8">
                  <c:v>0.44400423728813554</c:v>
                </c:pt>
                <c:pt idx="9">
                  <c:v>0.40174343521308653</c:v>
                </c:pt>
                <c:pt idx="10">
                  <c:v>0.41271572492334646</c:v>
                </c:pt>
                <c:pt idx="11">
                  <c:v>0.46518900343642611</c:v>
                </c:pt>
                <c:pt idx="12">
                  <c:v>0.40613463166807789</c:v>
                </c:pt>
                <c:pt idx="13">
                  <c:v>0.40457563025210086</c:v>
                </c:pt>
                <c:pt idx="14">
                  <c:v>0.4514634146341463</c:v>
                </c:pt>
                <c:pt idx="15">
                  <c:v>0.45771880064829823</c:v>
                </c:pt>
                <c:pt idx="16">
                  <c:v>0.40996469549867609</c:v>
                </c:pt>
                <c:pt idx="17">
                  <c:v>0.41586321934945786</c:v>
                </c:pt>
                <c:pt idx="18">
                  <c:v>0.40265558562040976</c:v>
                </c:pt>
                <c:pt idx="19">
                  <c:v>0.38775462962962964</c:v>
                </c:pt>
                <c:pt idx="20">
                  <c:v>0.41355780022446692</c:v>
                </c:pt>
                <c:pt idx="21">
                  <c:v>0.40388394584139264</c:v>
                </c:pt>
                <c:pt idx="22">
                  <c:v>0.41547738693467334</c:v>
                </c:pt>
                <c:pt idx="23">
                  <c:v>0.42898569023569022</c:v>
                </c:pt>
                <c:pt idx="24">
                  <c:v>0.43357838795394155</c:v>
                </c:pt>
                <c:pt idx="25">
                  <c:v>0.4116008869179601</c:v>
                </c:pt>
                <c:pt idx="26">
                  <c:v>0.42654697286012527</c:v>
                </c:pt>
                <c:pt idx="27">
                  <c:v>0</c:v>
                </c:pt>
                <c:pt idx="28">
                  <c:v>0.42375000000000002</c:v>
                </c:pt>
                <c:pt idx="29">
                  <c:v>0</c:v>
                </c:pt>
                <c:pt idx="30">
                  <c:v>0.42375000000000002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19216"/>
        <c:axId val="981954016"/>
      </c:lineChart>
      <c:catAx>
        <c:axId val="98121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4016"/>
        <c:crosses val="autoZero"/>
        <c:auto val="1"/>
        <c:lblAlgn val="ctr"/>
        <c:lblOffset val="100"/>
        <c:noMultiLvlLbl val="0"/>
      </c:catAx>
      <c:valAx>
        <c:axId val="98195401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19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63</c:v>
                </c:pt>
                <c:pt idx="11">
                  <c:v>48</c:v>
                </c:pt>
                <c:pt idx="12">
                  <c:v>62</c:v>
                </c:pt>
                <c:pt idx="13">
                  <c:v>52</c:v>
                </c:pt>
                <c:pt idx="14">
                  <c:v>78</c:v>
                </c:pt>
                <c:pt idx="15">
                  <c:v>52</c:v>
                </c:pt>
                <c:pt idx="16">
                  <c:v>53</c:v>
                </c:pt>
                <c:pt idx="17">
                  <c:v>51</c:v>
                </c:pt>
                <c:pt idx="18">
                  <c:v>127</c:v>
                </c:pt>
                <c:pt idx="19">
                  <c:v>46</c:v>
                </c:pt>
                <c:pt idx="20">
                  <c:v>47</c:v>
                </c:pt>
                <c:pt idx="21">
                  <c:v>51</c:v>
                </c:pt>
                <c:pt idx="22">
                  <c:v>61</c:v>
                </c:pt>
                <c:pt idx="23">
                  <c:v>49</c:v>
                </c:pt>
                <c:pt idx="24">
                  <c:v>50</c:v>
                </c:pt>
                <c:pt idx="25">
                  <c:v>56</c:v>
                </c:pt>
                <c:pt idx="26">
                  <c:v>47</c:v>
                </c:pt>
                <c:pt idx="27">
                  <c:v>45</c:v>
                </c:pt>
                <c:pt idx="28">
                  <c:v>62</c:v>
                </c:pt>
                <c:pt idx="29">
                  <c:v>46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954560"/>
        <c:axId val="981956192"/>
      </c:lineChart>
      <c:catAx>
        <c:axId val="981954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6192"/>
        <c:crosses val="autoZero"/>
        <c:auto val="1"/>
        <c:lblAlgn val="ctr"/>
        <c:lblOffset val="100"/>
        <c:noMultiLvlLbl val="0"/>
      </c:catAx>
      <c:valAx>
        <c:axId val="981956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4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2264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952928"/>
        <c:axId val="981953472"/>
      </c:lineChart>
      <c:catAx>
        <c:axId val="981952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3472"/>
        <c:crosses val="autoZero"/>
        <c:auto val="1"/>
        <c:lblAlgn val="ctr"/>
        <c:lblOffset val="200"/>
        <c:tickLblSkip val="1"/>
        <c:noMultiLvlLbl val="0"/>
      </c:catAx>
      <c:valAx>
        <c:axId val="98195347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0.05</c:v>
                </c:pt>
                <c:pt idx="12">
                  <c:v>5.1900000000000002E-2</c:v>
                </c:pt>
                <c:pt idx="13">
                  <c:v>0.18179999999999999</c:v>
                </c:pt>
                <c:pt idx="14">
                  <c:v>0.1429</c:v>
                </c:pt>
                <c:pt idx="15">
                  <c:v>0.12989999999999999</c:v>
                </c:pt>
                <c:pt idx="16">
                  <c:v>0.03</c:v>
                </c:pt>
                <c:pt idx="17">
                  <c:v>0.104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6.5000000000000002E-2</c:v>
                </c:pt>
                <c:pt idx="21">
                  <c:v>0.1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3.9E-2</c:v>
                </c:pt>
                <c:pt idx="25">
                  <c:v>1.2999999999999999E-2</c:v>
                </c:pt>
                <c:pt idx="26">
                  <c:v>0.01</c:v>
                </c:pt>
                <c:pt idx="27">
                  <c:v>2.5999999999999999E-2</c:v>
                </c:pt>
                <c:pt idx="28">
                  <c:v>2.5999999999999999E-2</c:v>
                </c:pt>
                <c:pt idx="29">
                  <c:v>3.9E-2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958368"/>
        <c:axId val="981958912"/>
      </c:lineChart>
      <c:catAx>
        <c:axId val="98195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8912"/>
        <c:crosses val="autoZero"/>
        <c:auto val="1"/>
        <c:lblAlgn val="ctr"/>
        <c:lblOffset val="100"/>
        <c:noMultiLvlLbl val="0"/>
      </c:catAx>
      <c:valAx>
        <c:axId val="981958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8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33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54.163999999989763</c:v>
                </c:pt>
                <c:pt idx="12">
                  <c:v>68.508000000030734</c:v>
                </c:pt>
                <c:pt idx="13">
                  <c:v>69.343999999976958</c:v>
                </c:pt>
                <c:pt idx="14">
                  <c:v>95.392000000033306</c:v>
                </c:pt>
                <c:pt idx="15">
                  <c:v>82.763999999989764</c:v>
                </c:pt>
                <c:pt idx="16">
                  <c:v>77.572000000020495</c:v>
                </c:pt>
                <c:pt idx="17">
                  <c:v>75.283999999938544</c:v>
                </c:pt>
                <c:pt idx="18">
                  <c:v>73.524000000028181</c:v>
                </c:pt>
                <c:pt idx="19">
                  <c:v>99.175999999971836</c:v>
                </c:pt>
                <c:pt idx="20">
                  <c:v>85.360000000038426</c:v>
                </c:pt>
                <c:pt idx="21">
                  <c:v>86.547999999992328</c:v>
                </c:pt>
                <c:pt idx="22">
                  <c:v>65.73600000001025</c:v>
                </c:pt>
                <c:pt idx="23">
                  <c:v>64.107999999966708</c:v>
                </c:pt>
                <c:pt idx="24">
                  <c:v>80.344000000040978</c:v>
                </c:pt>
                <c:pt idx="25">
                  <c:v>78.71599999999745</c:v>
                </c:pt>
                <c:pt idx="26">
                  <c:v>42.371999999956465</c:v>
                </c:pt>
                <c:pt idx="27">
                  <c:v>67.71599999999745</c:v>
                </c:pt>
                <c:pt idx="28">
                  <c:v>28.996000000048664</c:v>
                </c:pt>
                <c:pt idx="29">
                  <c:v>67.847999999992325</c:v>
                </c:pt>
                <c:pt idx="30">
                  <c:v>-323055.43600000005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961632"/>
        <c:axId val="981956736"/>
      </c:lineChart>
      <c:catAx>
        <c:axId val="98196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6736"/>
        <c:crosses val="autoZero"/>
        <c:auto val="1"/>
        <c:lblAlgn val="ctr"/>
        <c:lblOffset val="100"/>
        <c:noMultiLvlLbl val="0"/>
      </c:catAx>
      <c:valAx>
        <c:axId val="98195673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61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0.39587991718426502</c:v>
                </c:pt>
                <c:pt idx="1">
                  <c:v>0.42335498662590754</c:v>
                </c:pt>
                <c:pt idx="2">
                  <c:v>0.44945601851851841</c:v>
                </c:pt>
                <c:pt idx="3">
                  <c:v>0.39410546139359698</c:v>
                </c:pt>
                <c:pt idx="4">
                  <c:v>0.4077842003853564</c:v>
                </c:pt>
                <c:pt idx="5">
                  <c:v>0.44646820027063594</c:v>
                </c:pt>
                <c:pt idx="6">
                  <c:v>0.38424768051633723</c:v>
                </c:pt>
                <c:pt idx="7">
                  <c:v>0.4376591200341734</c:v>
                </c:pt>
                <c:pt idx="8">
                  <c:v>0.44400423728813554</c:v>
                </c:pt>
                <c:pt idx="9">
                  <c:v>0.40174343521308653</c:v>
                </c:pt>
                <c:pt idx="10">
                  <c:v>0.41271572492334646</c:v>
                </c:pt>
                <c:pt idx="11">
                  <c:v>0.46518900343642611</c:v>
                </c:pt>
                <c:pt idx="12">
                  <c:v>0.40613463166807789</c:v>
                </c:pt>
                <c:pt idx="13">
                  <c:v>0.40457563025210086</c:v>
                </c:pt>
                <c:pt idx="14">
                  <c:v>0.4514634146341463</c:v>
                </c:pt>
                <c:pt idx="15">
                  <c:v>0.45771880064829823</c:v>
                </c:pt>
                <c:pt idx="16">
                  <c:v>0.40996469549867609</c:v>
                </c:pt>
                <c:pt idx="17">
                  <c:v>0.41586321934945786</c:v>
                </c:pt>
                <c:pt idx="18">
                  <c:v>0.40265558562040976</c:v>
                </c:pt>
                <c:pt idx="19">
                  <c:v>0.38775462962962964</c:v>
                </c:pt>
                <c:pt idx="20">
                  <c:v>0.41355780022446692</c:v>
                </c:pt>
                <c:pt idx="21">
                  <c:v>0.40388394584139264</c:v>
                </c:pt>
                <c:pt idx="22">
                  <c:v>0.41547738693467334</c:v>
                </c:pt>
                <c:pt idx="23">
                  <c:v>0.42898569023569022</c:v>
                </c:pt>
                <c:pt idx="24">
                  <c:v>0.43357838795394155</c:v>
                </c:pt>
                <c:pt idx="25">
                  <c:v>0.4116008869179601</c:v>
                </c:pt>
                <c:pt idx="26">
                  <c:v>0.42654697286012527</c:v>
                </c:pt>
                <c:pt idx="27">
                  <c:v>0</c:v>
                </c:pt>
                <c:pt idx="28">
                  <c:v>0.42375000000000002</c:v>
                </c:pt>
                <c:pt idx="29">
                  <c:v>0</c:v>
                </c:pt>
                <c:pt idx="30">
                  <c:v>0.42375000000000002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950752"/>
        <c:axId val="981951296"/>
      </c:lineChart>
      <c:catAx>
        <c:axId val="98195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1296"/>
        <c:crosses val="autoZero"/>
        <c:auto val="1"/>
        <c:lblAlgn val="ctr"/>
        <c:lblOffset val="100"/>
        <c:noMultiLvlLbl val="0"/>
      </c:catAx>
      <c:valAx>
        <c:axId val="98195129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0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54</c:v>
                </c:pt>
                <c:pt idx="1">
                  <c:v>48</c:v>
                </c:pt>
                <c:pt idx="2">
                  <c:v>81</c:v>
                </c:pt>
                <c:pt idx="3">
                  <c:v>50</c:v>
                </c:pt>
                <c:pt idx="4">
                  <c:v>58</c:v>
                </c:pt>
                <c:pt idx="5">
                  <c:v>62</c:v>
                </c:pt>
                <c:pt idx="6">
                  <c:v>83</c:v>
                </c:pt>
                <c:pt idx="7">
                  <c:v>63</c:v>
                </c:pt>
                <c:pt idx="8">
                  <c:v>46</c:v>
                </c:pt>
                <c:pt idx="9">
                  <c:v>53</c:v>
                </c:pt>
                <c:pt idx="10">
                  <c:v>63</c:v>
                </c:pt>
                <c:pt idx="11">
                  <c:v>48</c:v>
                </c:pt>
                <c:pt idx="12">
                  <c:v>62</c:v>
                </c:pt>
                <c:pt idx="13">
                  <c:v>52</c:v>
                </c:pt>
                <c:pt idx="14">
                  <c:v>78</c:v>
                </c:pt>
                <c:pt idx="15">
                  <c:v>52</c:v>
                </c:pt>
                <c:pt idx="16">
                  <c:v>53</c:v>
                </c:pt>
                <c:pt idx="17">
                  <c:v>51</c:v>
                </c:pt>
                <c:pt idx="18">
                  <c:v>127</c:v>
                </c:pt>
                <c:pt idx="19">
                  <c:v>46</c:v>
                </c:pt>
                <c:pt idx="20">
                  <c:v>47</c:v>
                </c:pt>
                <c:pt idx="21">
                  <c:v>51</c:v>
                </c:pt>
                <c:pt idx="22">
                  <c:v>61</c:v>
                </c:pt>
                <c:pt idx="23">
                  <c:v>49</c:v>
                </c:pt>
                <c:pt idx="24">
                  <c:v>50</c:v>
                </c:pt>
                <c:pt idx="25">
                  <c:v>56</c:v>
                </c:pt>
                <c:pt idx="26">
                  <c:v>47</c:v>
                </c:pt>
                <c:pt idx="27">
                  <c:v>45</c:v>
                </c:pt>
                <c:pt idx="28">
                  <c:v>62</c:v>
                </c:pt>
                <c:pt idx="29">
                  <c:v>46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960000"/>
        <c:axId val="981951840"/>
      </c:lineChart>
      <c:catAx>
        <c:axId val="98196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51840"/>
        <c:crosses val="autoZero"/>
        <c:auto val="1"/>
        <c:lblAlgn val="ctr"/>
        <c:lblOffset val="100"/>
        <c:noMultiLvlLbl val="0"/>
      </c:catAx>
      <c:valAx>
        <c:axId val="98195184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60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2415</c:v>
                </c:pt>
                <c:pt idx="3">
                  <c:v>2617</c:v>
                </c:pt>
                <c:pt idx="4">
                  <c:v>2592</c:v>
                </c:pt>
                <c:pt idx="5">
                  <c:v>2655</c:v>
                </c:pt>
                <c:pt idx="6">
                  <c:v>2595</c:v>
                </c:pt>
                <c:pt idx="7">
                  <c:v>2217</c:v>
                </c:pt>
                <c:pt idx="8">
                  <c:v>2479</c:v>
                </c:pt>
                <c:pt idx="9">
                  <c:v>2341</c:v>
                </c:pt>
                <c:pt idx="10">
                  <c:v>2360</c:v>
                </c:pt>
                <c:pt idx="11">
                  <c:v>2323</c:v>
                </c:pt>
                <c:pt idx="12">
                  <c:v>2283</c:v>
                </c:pt>
                <c:pt idx="13">
                  <c:v>2328</c:v>
                </c:pt>
                <c:pt idx="14">
                  <c:v>2362</c:v>
                </c:pt>
                <c:pt idx="15">
                  <c:v>2380</c:v>
                </c:pt>
                <c:pt idx="16">
                  <c:v>2337</c:v>
                </c:pt>
                <c:pt idx="17">
                  <c:v>2468</c:v>
                </c:pt>
                <c:pt idx="18">
                  <c:v>2266</c:v>
                </c:pt>
                <c:pt idx="19">
                  <c:v>2398</c:v>
                </c:pt>
                <c:pt idx="20">
                  <c:v>2587</c:v>
                </c:pt>
                <c:pt idx="21">
                  <c:v>2592</c:v>
                </c:pt>
                <c:pt idx="22">
                  <c:v>2673</c:v>
                </c:pt>
                <c:pt idx="23">
                  <c:v>2585</c:v>
                </c:pt>
                <c:pt idx="24">
                  <c:v>2587</c:v>
                </c:pt>
                <c:pt idx="25">
                  <c:v>2376</c:v>
                </c:pt>
                <c:pt idx="26">
                  <c:v>2258</c:v>
                </c:pt>
                <c:pt idx="27">
                  <c:v>2255</c:v>
                </c:pt>
                <c:pt idx="28">
                  <c:v>2395</c:v>
                </c:pt>
                <c:pt idx="29">
                  <c:v>0</c:v>
                </c:pt>
                <c:pt idx="30">
                  <c:v>2264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1949664"/>
        <c:axId val="981949120"/>
      </c:lineChart>
      <c:catAx>
        <c:axId val="98194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49120"/>
        <c:crosses val="autoZero"/>
        <c:auto val="1"/>
        <c:lblAlgn val="ctr"/>
        <c:lblOffset val="200"/>
        <c:tickLblSkip val="1"/>
        <c:noMultiLvlLbl val="0"/>
      </c:catAx>
      <c:valAx>
        <c:axId val="98194912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4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2.5999999999999999E-2</c:v>
                </c:pt>
                <c:pt idx="1">
                  <c:v>5.1900000000000002E-2</c:v>
                </c:pt>
                <c:pt idx="2">
                  <c:v>7.7899999999999997E-2</c:v>
                </c:pt>
                <c:pt idx="3">
                  <c:v>6.4899999999999999E-2</c:v>
                </c:pt>
                <c:pt idx="4">
                  <c:v>2.5999999999999999E-2</c:v>
                </c:pt>
                <c:pt idx="5">
                  <c:v>6.4899999999999999E-2</c:v>
                </c:pt>
                <c:pt idx="6">
                  <c:v>5.1900000000000002E-2</c:v>
                </c:pt>
                <c:pt idx="7">
                  <c:v>0</c:v>
                </c:pt>
                <c:pt idx="8">
                  <c:v>1.2999999999999999E-2</c:v>
                </c:pt>
                <c:pt idx="9">
                  <c:v>3.9E-2</c:v>
                </c:pt>
                <c:pt idx="10">
                  <c:v>6.4899999999999999E-2</c:v>
                </c:pt>
                <c:pt idx="11">
                  <c:v>0.05</c:v>
                </c:pt>
                <c:pt idx="12">
                  <c:v>5.1900000000000002E-2</c:v>
                </c:pt>
                <c:pt idx="13">
                  <c:v>0.18179999999999999</c:v>
                </c:pt>
                <c:pt idx="14">
                  <c:v>0.1429</c:v>
                </c:pt>
                <c:pt idx="15">
                  <c:v>0.12989999999999999</c:v>
                </c:pt>
                <c:pt idx="16">
                  <c:v>0.03</c:v>
                </c:pt>
                <c:pt idx="17">
                  <c:v>0.104</c:v>
                </c:pt>
                <c:pt idx="18">
                  <c:v>5.1999999999999998E-2</c:v>
                </c:pt>
                <c:pt idx="19">
                  <c:v>5.1999999999999998E-2</c:v>
                </c:pt>
                <c:pt idx="20">
                  <c:v>6.5000000000000002E-2</c:v>
                </c:pt>
                <c:pt idx="21">
                  <c:v>0.1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3.9E-2</c:v>
                </c:pt>
                <c:pt idx="25">
                  <c:v>1.2999999999999999E-2</c:v>
                </c:pt>
                <c:pt idx="26">
                  <c:v>0.01</c:v>
                </c:pt>
                <c:pt idx="27">
                  <c:v>2.5999999999999999E-2</c:v>
                </c:pt>
                <c:pt idx="28">
                  <c:v>2.5999999999999999E-2</c:v>
                </c:pt>
                <c:pt idx="29">
                  <c:v>3.9E-2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340752"/>
        <c:axId val="982338576"/>
      </c:lineChart>
      <c:catAx>
        <c:axId val="98234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8576"/>
        <c:crosses val="autoZero"/>
        <c:auto val="1"/>
        <c:lblAlgn val="ctr"/>
        <c:lblOffset val="100"/>
        <c:noMultiLvlLbl val="0"/>
      </c:catAx>
      <c:valAx>
        <c:axId val="982338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4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33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57.420000000012813</c:v>
                </c:pt>
                <c:pt idx="2">
                  <c:v>50.159999999974396</c:v>
                </c:pt>
                <c:pt idx="3">
                  <c:v>57.815999999997445</c:v>
                </c:pt>
                <c:pt idx="4">
                  <c:v>59.972000000020493</c:v>
                </c:pt>
                <c:pt idx="5">
                  <c:v>52.97600000003586</c:v>
                </c:pt>
                <c:pt idx="6">
                  <c:v>75.679999999987203</c:v>
                </c:pt>
                <c:pt idx="7">
                  <c:v>51.7</c:v>
                </c:pt>
                <c:pt idx="8">
                  <c:v>53.591999999969268</c:v>
                </c:pt>
                <c:pt idx="9">
                  <c:v>23.540000000025614</c:v>
                </c:pt>
                <c:pt idx="10">
                  <c:v>75.327999999979511</c:v>
                </c:pt>
                <c:pt idx="11">
                  <c:v>54.163999999989763</c:v>
                </c:pt>
                <c:pt idx="12">
                  <c:v>68.508000000030734</c:v>
                </c:pt>
                <c:pt idx="13">
                  <c:v>69.343999999976958</c:v>
                </c:pt>
                <c:pt idx="14">
                  <c:v>95.392000000033306</c:v>
                </c:pt>
                <c:pt idx="15">
                  <c:v>82.763999999989764</c:v>
                </c:pt>
                <c:pt idx="16">
                  <c:v>77.572000000020495</c:v>
                </c:pt>
                <c:pt idx="17">
                  <c:v>75.283999999938544</c:v>
                </c:pt>
                <c:pt idx="18">
                  <c:v>73.524000000028181</c:v>
                </c:pt>
                <c:pt idx="19">
                  <c:v>99.175999999971836</c:v>
                </c:pt>
                <c:pt idx="20">
                  <c:v>85.360000000038426</c:v>
                </c:pt>
                <c:pt idx="21">
                  <c:v>86.547999999992328</c:v>
                </c:pt>
                <c:pt idx="22">
                  <c:v>65.73600000001025</c:v>
                </c:pt>
                <c:pt idx="23">
                  <c:v>64.107999999966708</c:v>
                </c:pt>
                <c:pt idx="24">
                  <c:v>80.344000000040978</c:v>
                </c:pt>
                <c:pt idx="25">
                  <c:v>78.71599999999745</c:v>
                </c:pt>
                <c:pt idx="26">
                  <c:v>42.371999999956465</c:v>
                </c:pt>
                <c:pt idx="27">
                  <c:v>67.71599999999745</c:v>
                </c:pt>
                <c:pt idx="28">
                  <c:v>28.996000000048664</c:v>
                </c:pt>
                <c:pt idx="29">
                  <c:v>67.847999999992325</c:v>
                </c:pt>
                <c:pt idx="30">
                  <c:v>-323055.43600000005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336400"/>
        <c:axId val="982335856"/>
      </c:lineChart>
      <c:catAx>
        <c:axId val="98233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5856"/>
        <c:crosses val="autoZero"/>
        <c:auto val="1"/>
        <c:lblAlgn val="ctr"/>
        <c:lblOffset val="100"/>
        <c:noMultiLvlLbl val="0"/>
      </c:catAx>
      <c:valAx>
        <c:axId val="982335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344016"/>
        <c:axId val="982339120"/>
      </c:lineChart>
      <c:catAx>
        <c:axId val="98234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9120"/>
        <c:crosses val="autoZero"/>
        <c:auto val="1"/>
        <c:lblAlgn val="ctr"/>
        <c:lblOffset val="100"/>
        <c:noMultiLvlLbl val="0"/>
      </c:catAx>
      <c:valAx>
        <c:axId val="9823391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440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335312"/>
        <c:axId val="982344560"/>
      </c:lineChart>
      <c:catAx>
        <c:axId val="98233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44560"/>
        <c:crosses val="autoZero"/>
        <c:auto val="1"/>
        <c:lblAlgn val="ctr"/>
        <c:lblOffset val="100"/>
        <c:noMultiLvlLbl val="0"/>
      </c:catAx>
      <c:valAx>
        <c:axId val="982344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53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342384"/>
        <c:axId val="982342928"/>
      </c:lineChart>
      <c:catAx>
        <c:axId val="98234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42928"/>
        <c:crosses val="autoZero"/>
        <c:auto val="1"/>
        <c:lblAlgn val="ctr"/>
        <c:lblOffset val="200"/>
        <c:tickLblSkip val="1"/>
        <c:noMultiLvlLbl val="0"/>
      </c:catAx>
      <c:valAx>
        <c:axId val="98234292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4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2346192"/>
        <c:axId val="982331504"/>
      </c:lineChart>
      <c:catAx>
        <c:axId val="98234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1504"/>
        <c:crosses val="autoZero"/>
        <c:auto val="1"/>
        <c:lblAlgn val="ctr"/>
        <c:lblOffset val="100"/>
        <c:noMultiLvlLbl val="0"/>
      </c:catAx>
      <c:valAx>
        <c:axId val="982331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4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47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2333136"/>
        <c:axId val="982333680"/>
      </c:lineChart>
      <c:catAx>
        <c:axId val="98233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3680"/>
        <c:crosses val="autoZero"/>
        <c:auto val="1"/>
        <c:lblAlgn val="ctr"/>
        <c:lblOffset val="100"/>
        <c:noMultiLvlLbl val="0"/>
      </c:catAx>
      <c:valAx>
        <c:axId val="982333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33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53568"/>
        <c:axId val="983861728"/>
      </c:lineChart>
      <c:catAx>
        <c:axId val="98385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61728"/>
        <c:crosses val="autoZero"/>
        <c:auto val="1"/>
        <c:lblAlgn val="ctr"/>
        <c:lblOffset val="100"/>
        <c:noMultiLvlLbl val="0"/>
      </c:catAx>
      <c:valAx>
        <c:axId val="98386172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35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58464"/>
        <c:axId val="983851392"/>
      </c:lineChart>
      <c:catAx>
        <c:axId val="9838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1392"/>
        <c:crosses val="autoZero"/>
        <c:auto val="1"/>
        <c:lblAlgn val="ctr"/>
        <c:lblOffset val="100"/>
        <c:noMultiLvlLbl val="0"/>
      </c:catAx>
      <c:valAx>
        <c:axId val="9838513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850304"/>
        <c:axId val="983862272"/>
      </c:lineChart>
      <c:catAx>
        <c:axId val="98385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62272"/>
        <c:crosses val="autoZero"/>
        <c:auto val="1"/>
        <c:lblAlgn val="ctr"/>
        <c:lblOffset val="200"/>
        <c:tickLblSkip val="1"/>
        <c:noMultiLvlLbl val="0"/>
      </c:catAx>
      <c:valAx>
        <c:axId val="98386227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55744"/>
        <c:axId val="983847040"/>
      </c:lineChart>
      <c:catAx>
        <c:axId val="98385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47040"/>
        <c:crosses val="autoZero"/>
        <c:auto val="1"/>
        <c:lblAlgn val="ctr"/>
        <c:lblOffset val="100"/>
        <c:noMultiLvlLbl val="0"/>
      </c:catAx>
      <c:valAx>
        <c:axId val="98384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547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851936"/>
        <c:axId val="983852480"/>
      </c:lineChart>
      <c:catAx>
        <c:axId val="98385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2480"/>
        <c:crosses val="autoZero"/>
        <c:auto val="1"/>
        <c:lblAlgn val="ctr"/>
        <c:lblOffset val="100"/>
        <c:noMultiLvlLbl val="0"/>
      </c:catAx>
      <c:valAx>
        <c:axId val="98385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5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25979</xdr:colOff>
      <xdr:row>1</xdr:row>
      <xdr:rowOff>34635</xdr:rowOff>
    </xdr:from>
    <xdr:to>
      <xdr:col>3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80962</xdr:colOff>
      <xdr:row>1</xdr:row>
      <xdr:rowOff>85725</xdr:rowOff>
    </xdr:from>
    <xdr:to>
      <xdr:col>3</xdr:col>
      <xdr:colOff>95250</xdr:colOff>
      <xdr:row>5</xdr:row>
      <xdr:rowOff>228600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0562" y="228600"/>
          <a:ext cx="1309688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</xdr:colOff>
      <xdr:row>46</xdr:row>
      <xdr:rowOff>81641</xdr:rowOff>
    </xdr:from>
    <xdr:to>
      <xdr:col>5</xdr:col>
      <xdr:colOff>1064284</xdr:colOff>
      <xdr:row>59</xdr:row>
      <xdr:rowOff>81643</xdr:rowOff>
    </xdr:to>
    <xdr:pic>
      <xdr:nvPicPr>
        <xdr:cNvPr id="204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50" y="10736034"/>
          <a:ext cx="2139248" cy="2122716"/>
        </a:xfrm>
        <a:prstGeom prst="rect">
          <a:avLst/>
        </a:prstGeom>
        <a:noFill/>
      </xdr:spPr>
    </xdr:pic>
    <xdr:clientData/>
  </xdr:twoCellAnchor>
  <xdr:twoCellAnchor>
    <xdr:from>
      <xdr:col>1</xdr:col>
      <xdr:colOff>54428</xdr:colOff>
      <xdr:row>46</xdr:row>
      <xdr:rowOff>58916</xdr:rowOff>
    </xdr:from>
    <xdr:to>
      <xdr:col>2</xdr:col>
      <xdr:colOff>898072</xdr:colOff>
      <xdr:row>60</xdr:row>
      <xdr:rowOff>136173</xdr:rowOff>
    </xdr:to>
    <xdr:pic>
      <xdr:nvPicPr>
        <xdr:cNvPr id="205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93321" y="10713309"/>
          <a:ext cx="2109108" cy="2363257"/>
        </a:xfrm>
        <a:prstGeom prst="rect">
          <a:avLst/>
        </a:prstGeom>
        <a:noFill/>
      </xdr:spPr>
    </xdr:pic>
    <xdr:clientData/>
  </xdr:twoCellAnchor>
  <xdr:twoCellAnchor>
    <xdr:from>
      <xdr:col>6</xdr:col>
      <xdr:colOff>371474</xdr:colOff>
      <xdr:row>46</xdr:row>
      <xdr:rowOff>163284</xdr:rowOff>
    </xdr:from>
    <xdr:to>
      <xdr:col>7</xdr:col>
      <xdr:colOff>911678</xdr:colOff>
      <xdr:row>60</xdr:row>
      <xdr:rowOff>43708</xdr:rowOff>
    </xdr:to>
    <xdr:pic>
      <xdr:nvPicPr>
        <xdr:cNvPr id="2051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909581" y="10817677"/>
          <a:ext cx="1955347" cy="2166424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77</xdr:row>
      <xdr:rowOff>19050</xdr:rowOff>
    </xdr:from>
    <xdr:to>
      <xdr:col>8</xdr:col>
      <xdr:colOff>568325</xdr:colOff>
      <xdr:row>80</xdr:row>
      <xdr:rowOff>106680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62425" y="13011150"/>
          <a:ext cx="2816225" cy="5734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114299</xdr:colOff>
      <xdr:row>76</xdr:row>
      <xdr:rowOff>104775</xdr:rowOff>
    </xdr:from>
    <xdr:to>
      <xdr:col>3</xdr:col>
      <xdr:colOff>857884</xdr:colOff>
      <xdr:row>82</xdr:row>
      <xdr:rowOff>28575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90574" y="12934950"/>
          <a:ext cx="2400935" cy="8953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76</xdr:row>
      <xdr:rowOff>161924</xdr:rowOff>
    </xdr:from>
    <xdr:to>
      <xdr:col>4</xdr:col>
      <xdr:colOff>818514</xdr:colOff>
      <xdr:row>83</xdr:row>
      <xdr:rowOff>159384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4" y="12868274"/>
          <a:ext cx="3847465" cy="1130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438150</xdr:colOff>
      <xdr:row>76</xdr:row>
      <xdr:rowOff>152400</xdr:rowOff>
    </xdr:from>
    <xdr:to>
      <xdr:col>11</xdr:col>
      <xdr:colOff>637540</xdr:colOff>
      <xdr:row>84</xdr:row>
      <xdr:rowOff>40640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200900" y="12858750"/>
          <a:ext cx="3818890" cy="1183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8"/>
  <sheetViews>
    <sheetView workbookViewId="0">
      <selection activeCell="G3" sqref="G3"/>
    </sheetView>
  </sheetViews>
  <sheetFormatPr defaultColWidth="11.5703125" defaultRowHeight="12.75" x14ac:dyDescent="0.2"/>
  <cols>
    <col min="1" max="1" width="12.42578125" style="12" customWidth="1"/>
    <col min="2" max="3" width="11.5703125" style="414"/>
    <col min="4" max="4" width="13.42578125" style="415" customWidth="1"/>
    <col min="5" max="5" width="12.5703125" style="416" customWidth="1"/>
    <col min="6" max="6" width="12.5703125" style="12" customWidth="1"/>
    <col min="7" max="7" width="11.5703125" style="12"/>
    <col min="8" max="8" width="11.5703125" style="423"/>
    <col min="9" max="9" width="11.5703125" style="12"/>
    <col min="10" max="10" width="11.5703125" style="423"/>
    <col min="11" max="11" width="11.5703125" style="41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2" customFormat="1" ht="60.75" thickBot="1" x14ac:dyDescent="0.3">
      <c r="A1" s="406" t="s">
        <v>271</v>
      </c>
      <c r="B1" s="407" t="s">
        <v>272</v>
      </c>
      <c r="C1" s="407" t="s">
        <v>273</v>
      </c>
      <c r="D1" s="408" t="s">
        <v>274</v>
      </c>
      <c r="E1" s="409" t="s">
        <v>275</v>
      </c>
      <c r="F1" s="410" t="s">
        <v>276</v>
      </c>
      <c r="G1" s="410" t="s">
        <v>277</v>
      </c>
      <c r="H1" s="421" t="s">
        <v>278</v>
      </c>
      <c r="I1" s="410" t="s">
        <v>279</v>
      </c>
      <c r="J1" s="421" t="s">
        <v>280</v>
      </c>
      <c r="K1" s="409" t="s">
        <v>281</v>
      </c>
      <c r="L1" s="411" t="s">
        <v>282</v>
      </c>
    </row>
    <row r="2" spans="1:12" x14ac:dyDescent="0.2">
      <c r="A2" s="413" t="s">
        <v>283</v>
      </c>
      <c r="B2" s="414">
        <v>1</v>
      </c>
      <c r="C2" s="414">
        <v>11</v>
      </c>
      <c r="D2" s="415">
        <v>2020</v>
      </c>
      <c r="E2" s="416">
        <f>'UTILITY REPORT 1'!F3</f>
        <v>2415</v>
      </c>
      <c r="F2" s="417">
        <f>('UTILITY REPORT 1'!E3*'UTILITY REPORT 1'!D3)/'UTILITY REPORT 1'!F3</f>
        <v>0.39587991718426502</v>
      </c>
      <c r="G2" s="417">
        <v>57.42</v>
      </c>
      <c r="H2" s="422">
        <v>2.165</v>
      </c>
      <c r="I2" s="417">
        <f>IF('UTILITY REPORT 1'!G3&lt;0,"0",'UTILITY REPORT 1'!G3)</f>
        <v>54</v>
      </c>
      <c r="J2" s="422">
        <v>0</v>
      </c>
      <c r="K2" s="416">
        <f>'UTILITY REPORT 1'!C3</f>
        <v>3</v>
      </c>
      <c r="L2" s="418" t="e">
        <f>E2*F2+G2*H2+#REF!*#REF!+I2*J2</f>
        <v>#REF!</v>
      </c>
    </row>
    <row r="3" spans="1:12" x14ac:dyDescent="0.2">
      <c r="A3" s="413" t="s">
        <v>283</v>
      </c>
      <c r="B3" s="414">
        <f>B2+1</f>
        <v>2</v>
      </c>
      <c r="C3" s="414">
        <v>11</v>
      </c>
      <c r="D3" s="415">
        <v>2020</v>
      </c>
      <c r="E3" s="416">
        <f>'UTILITY REPORT 1'!F4</f>
        <v>2617</v>
      </c>
      <c r="F3" s="417">
        <f>('UTILITY REPORT 1'!E4*'UTILITY REPORT 1'!D4)/'UTILITY REPORT 1'!F4</f>
        <v>0.42335498662590754</v>
      </c>
      <c r="G3" s="417">
        <f>IF('Utility summery'!M7&lt;0,"0",'Utility summery'!M7)</f>
        <v>57.420000000012813</v>
      </c>
      <c r="H3" s="422">
        <v>2.165</v>
      </c>
      <c r="I3" s="417">
        <f>IF('UTILITY REPORT 1'!G4&lt;0,"0",'UTILITY REPORT 1'!G4)</f>
        <v>48</v>
      </c>
      <c r="J3" s="422">
        <v>0</v>
      </c>
      <c r="K3" s="416">
        <f>'UTILITY REPORT 1'!C4</f>
        <v>5</v>
      </c>
      <c r="L3" s="418" t="e">
        <f>E3*F3+G3*H3+#REF!*#REF!+I3*J3</f>
        <v>#REF!</v>
      </c>
    </row>
    <row r="4" spans="1:12" x14ac:dyDescent="0.2">
      <c r="A4" s="413" t="s">
        <v>283</v>
      </c>
      <c r="B4" s="414">
        <f t="shared" ref="B4:B30" si="0">B3+1</f>
        <v>3</v>
      </c>
      <c r="C4" s="414">
        <v>11</v>
      </c>
      <c r="D4" s="415">
        <v>2020</v>
      </c>
      <c r="E4" s="416">
        <f>'UTILITY REPORT 1'!F5</f>
        <v>2592</v>
      </c>
      <c r="F4" s="417">
        <f>('UTILITY REPORT 1'!E5*'UTILITY REPORT 1'!D5)/'UTILITY REPORT 1'!F5</f>
        <v>0.44945601851851841</v>
      </c>
      <c r="G4" s="417">
        <f>IF('Utility summery'!M8&lt;0,"0",'Utility summery'!M8)</f>
        <v>50.159999999974396</v>
      </c>
      <c r="H4" s="422">
        <v>2.165</v>
      </c>
      <c r="I4" s="417">
        <f>IF('UTILITY REPORT 1'!G5&lt;0,"0",'UTILITY REPORT 1'!G5)</f>
        <v>81</v>
      </c>
      <c r="J4" s="422">
        <v>0</v>
      </c>
      <c r="K4" s="416">
        <f>'UTILITY REPORT 1'!C5</f>
        <v>7</v>
      </c>
      <c r="L4" s="418" t="e">
        <f>E4*F4+G4*H4+#REF!*#REF!+I4*J4</f>
        <v>#REF!</v>
      </c>
    </row>
    <row r="5" spans="1:12" x14ac:dyDescent="0.2">
      <c r="A5" s="413" t="s">
        <v>283</v>
      </c>
      <c r="B5" s="414">
        <f t="shared" si="0"/>
        <v>4</v>
      </c>
      <c r="C5" s="414">
        <v>11</v>
      </c>
      <c r="D5" s="415">
        <v>2020</v>
      </c>
      <c r="E5" s="416">
        <f>'UTILITY REPORT 1'!F6</f>
        <v>2655</v>
      </c>
      <c r="F5" s="417">
        <f>('UTILITY REPORT 1'!E6*'UTILITY REPORT 1'!D6)/'UTILITY REPORT 1'!F6</f>
        <v>0.39410546139359698</v>
      </c>
      <c r="G5" s="417">
        <f>IF('Utility summery'!M9&lt;0,"0",'Utility summery'!M9)</f>
        <v>57.815999999997445</v>
      </c>
      <c r="H5" s="422">
        <v>2.165</v>
      </c>
      <c r="I5" s="417">
        <f>IF('UTILITY REPORT 1'!G6&lt;0,"0",'UTILITY REPORT 1'!G6)</f>
        <v>50</v>
      </c>
      <c r="J5" s="422">
        <v>0</v>
      </c>
      <c r="K5" s="416">
        <f>'UTILITY REPORT 1'!C6</f>
        <v>6</v>
      </c>
      <c r="L5" s="418" t="e">
        <f>E5*F5+G5*H5+#REF!*#REF!+I5*J5</f>
        <v>#REF!</v>
      </c>
    </row>
    <row r="6" spans="1:12" x14ac:dyDescent="0.2">
      <c r="A6" s="413" t="s">
        <v>283</v>
      </c>
      <c r="B6" s="414">
        <f t="shared" si="0"/>
        <v>5</v>
      </c>
      <c r="C6" s="414">
        <v>11</v>
      </c>
      <c r="D6" s="415">
        <v>2020</v>
      </c>
      <c r="E6" s="416">
        <f>'UTILITY REPORT 1'!F7</f>
        <v>2595</v>
      </c>
      <c r="F6" s="417">
        <f>('UTILITY REPORT 1'!E7*'UTILITY REPORT 1'!D7)/'UTILITY REPORT 1'!F7</f>
        <v>0.4077842003853564</v>
      </c>
      <c r="G6" s="417">
        <f>IF('Utility summery'!M10&lt;0,"0",'Utility summery'!M10)</f>
        <v>59.972000000020493</v>
      </c>
      <c r="H6" s="422">
        <v>2.165</v>
      </c>
      <c r="I6" s="417">
        <f>IF('UTILITY REPORT 1'!G7&lt;0,"0",'UTILITY REPORT 1'!G7)</f>
        <v>58</v>
      </c>
      <c r="J6" s="422">
        <v>0</v>
      </c>
      <c r="K6" s="416">
        <f>'UTILITY REPORT 1'!C7</f>
        <v>3</v>
      </c>
      <c r="L6" s="418" t="e">
        <f>E6*F6+G6*H6+#REF!*#REF!+I6*J6</f>
        <v>#REF!</v>
      </c>
    </row>
    <row r="7" spans="1:12" x14ac:dyDescent="0.2">
      <c r="A7" s="413" t="s">
        <v>283</v>
      </c>
      <c r="B7" s="414">
        <f t="shared" si="0"/>
        <v>6</v>
      </c>
      <c r="C7" s="414">
        <v>11</v>
      </c>
      <c r="D7" s="415">
        <v>2020</v>
      </c>
      <c r="E7" s="416">
        <f>'UTILITY REPORT 1'!F8</f>
        <v>2217</v>
      </c>
      <c r="F7" s="417">
        <f>('UTILITY REPORT 1'!E8*'UTILITY REPORT 1'!D8)/'UTILITY REPORT 1'!F8</f>
        <v>0.44646820027063594</v>
      </c>
      <c r="G7" s="417">
        <f>IF('Utility summery'!M11&lt;0,"0",'Utility summery'!M11)</f>
        <v>52.97600000003586</v>
      </c>
      <c r="H7" s="422">
        <v>2.165</v>
      </c>
      <c r="I7" s="417">
        <f>IF('UTILITY REPORT 1'!G8&lt;0,"0",'UTILITY REPORT 1'!G8)</f>
        <v>62</v>
      </c>
      <c r="J7" s="422">
        <v>0</v>
      </c>
      <c r="K7" s="416">
        <f>'UTILITY REPORT 1'!C8</f>
        <v>6</v>
      </c>
      <c r="L7" s="418" t="e">
        <f>E7*F7+G7*H7+#REF!*#REF!+I7*J7</f>
        <v>#REF!</v>
      </c>
    </row>
    <row r="8" spans="1:12" x14ac:dyDescent="0.2">
      <c r="A8" s="413" t="s">
        <v>283</v>
      </c>
      <c r="B8" s="414">
        <f t="shared" si="0"/>
        <v>7</v>
      </c>
      <c r="C8" s="414">
        <v>11</v>
      </c>
      <c r="D8" s="415">
        <v>2020</v>
      </c>
      <c r="E8" s="416">
        <f>'UTILITY REPORT 1'!F9</f>
        <v>2479</v>
      </c>
      <c r="F8" s="417">
        <f>('UTILITY REPORT 1'!E9*'UTILITY REPORT 1'!D9)/'UTILITY REPORT 1'!F9</f>
        <v>0.38424768051633723</v>
      </c>
      <c r="G8" s="417">
        <f>IF('Utility summery'!M12&lt;0,"0",'Utility summery'!M12)</f>
        <v>75.679999999987203</v>
      </c>
      <c r="H8" s="422">
        <v>2.165</v>
      </c>
      <c r="I8" s="417">
        <f>IF('UTILITY REPORT 1'!G9&lt;0,"0",'UTILITY REPORT 1'!G9)</f>
        <v>83</v>
      </c>
      <c r="J8" s="422">
        <v>0</v>
      </c>
      <c r="K8" s="416">
        <f>'UTILITY REPORT 1'!C9</f>
        <v>5</v>
      </c>
      <c r="L8" s="418" t="e">
        <f>E8*F8+G8*H8+#REF!*#REF!+I8*J8</f>
        <v>#REF!</v>
      </c>
    </row>
    <row r="9" spans="1:12" x14ac:dyDescent="0.2">
      <c r="A9" s="413" t="s">
        <v>283</v>
      </c>
      <c r="B9" s="414">
        <f t="shared" si="0"/>
        <v>8</v>
      </c>
      <c r="C9" s="414">
        <v>11</v>
      </c>
      <c r="D9" s="415">
        <v>2020</v>
      </c>
      <c r="E9" s="416">
        <f>'UTILITY REPORT 1'!F10</f>
        <v>2341</v>
      </c>
      <c r="F9" s="417">
        <f>('UTILITY REPORT 1'!E10*'UTILITY REPORT 1'!D10)/'UTILITY REPORT 1'!F10</f>
        <v>0.4376591200341734</v>
      </c>
      <c r="G9" s="417">
        <f>IF('Utility summery'!M13&lt;0,"0",'Utility summery'!M13)</f>
        <v>51.7</v>
      </c>
      <c r="H9" s="422">
        <v>2.165</v>
      </c>
      <c r="I9" s="417">
        <f>IF('UTILITY REPORT 1'!G10&lt;0,"0",'UTILITY REPORT 1'!G10)</f>
        <v>63</v>
      </c>
      <c r="J9" s="422">
        <v>0</v>
      </c>
      <c r="K9" s="416">
        <f>'UTILITY REPORT 1'!C10</f>
        <v>1</v>
      </c>
      <c r="L9" s="418" t="e">
        <f>E9*F9+G9*H9+#REF!*#REF!+I9*J9</f>
        <v>#REF!</v>
      </c>
    </row>
    <row r="10" spans="1:12" x14ac:dyDescent="0.2">
      <c r="A10" s="413" t="s">
        <v>283</v>
      </c>
      <c r="B10" s="414">
        <f t="shared" si="0"/>
        <v>9</v>
      </c>
      <c r="C10" s="414">
        <v>11</v>
      </c>
      <c r="D10" s="415">
        <v>2020</v>
      </c>
      <c r="E10" s="416">
        <f>'UTILITY REPORT 1'!F11</f>
        <v>2360</v>
      </c>
      <c r="F10" s="417">
        <f>('UTILITY REPORT 1'!E11*'UTILITY REPORT 1'!D11)/'UTILITY REPORT 1'!F11</f>
        <v>0.44400423728813554</v>
      </c>
      <c r="G10" s="417">
        <f>IF('Utility summery'!M14&lt;0,"0",'Utility summery'!M14)</f>
        <v>53.591999999969268</v>
      </c>
      <c r="H10" s="422">
        <v>2.165</v>
      </c>
      <c r="I10" s="417">
        <f>IF('UTILITY REPORT 1'!G11&lt;0,"0",'UTILITY REPORT 1'!G11)</f>
        <v>46</v>
      </c>
      <c r="J10" s="422">
        <v>0</v>
      </c>
      <c r="K10" s="416">
        <f>'UTILITY REPORT 1'!C11</f>
        <v>2</v>
      </c>
      <c r="L10" s="418" t="e">
        <f>E10*F10+G10*H10+#REF!*#REF!+I10*J10</f>
        <v>#REF!</v>
      </c>
    </row>
    <row r="11" spans="1:12" x14ac:dyDescent="0.2">
      <c r="A11" s="413" t="s">
        <v>283</v>
      </c>
      <c r="B11" s="414">
        <f t="shared" si="0"/>
        <v>10</v>
      </c>
      <c r="C11" s="414">
        <v>11</v>
      </c>
      <c r="D11" s="415">
        <v>2020</v>
      </c>
      <c r="E11" s="416">
        <f>'UTILITY REPORT 1'!F12</f>
        <v>2323</v>
      </c>
      <c r="F11" s="417">
        <f>('UTILITY REPORT 1'!E12*'UTILITY REPORT 1'!D12)/'UTILITY REPORT 1'!F12</f>
        <v>0.40174343521308653</v>
      </c>
      <c r="G11" s="417">
        <f>IF('Utility summery'!M15&lt;0,"0",'Utility summery'!M15)</f>
        <v>23.540000000025614</v>
      </c>
      <c r="H11" s="422">
        <v>2.165</v>
      </c>
      <c r="I11" s="417">
        <f>IF('UTILITY REPORT 1'!G12&lt;0,"0",'UTILITY REPORT 1'!G12)</f>
        <v>53</v>
      </c>
      <c r="J11" s="422">
        <v>0</v>
      </c>
      <c r="K11" s="416">
        <f>'UTILITY REPORT 1'!C12</f>
        <v>4</v>
      </c>
      <c r="L11" s="418" t="e">
        <f>E11*F11+G11*H11+#REF!*#REF!+I11*J11</f>
        <v>#REF!</v>
      </c>
    </row>
    <row r="12" spans="1:12" x14ac:dyDescent="0.2">
      <c r="A12" s="413" t="s">
        <v>283</v>
      </c>
      <c r="B12" s="414">
        <f t="shared" si="0"/>
        <v>11</v>
      </c>
      <c r="C12" s="414">
        <v>11</v>
      </c>
      <c r="D12" s="415">
        <v>2020</v>
      </c>
      <c r="E12" s="416">
        <f>'UTILITY REPORT 1'!F13</f>
        <v>2283</v>
      </c>
      <c r="F12" s="417">
        <f>('UTILITY REPORT 1'!E13*'UTILITY REPORT 1'!D13)/'UTILITY REPORT 1'!F13</f>
        <v>0.41271572492334646</v>
      </c>
      <c r="G12" s="417">
        <f>IF('Utility summery'!M16&lt;0,"0",'Utility summery'!M16)</f>
        <v>75.327999999979511</v>
      </c>
      <c r="H12" s="422">
        <v>2.165</v>
      </c>
      <c r="I12" s="417">
        <f>IF('UTILITY REPORT 1'!G13&lt;0,"0",'UTILITY REPORT 1'!G13)</f>
        <v>63</v>
      </c>
      <c r="J12" s="422">
        <v>0</v>
      </c>
      <c r="K12" s="416">
        <f>'UTILITY REPORT 1'!C13</f>
        <v>6</v>
      </c>
      <c r="L12" s="418" t="e">
        <f>E12*F12+G12*H12+#REF!*#REF!+I12*J12</f>
        <v>#REF!</v>
      </c>
    </row>
    <row r="13" spans="1:12" x14ac:dyDescent="0.2">
      <c r="A13" s="413" t="s">
        <v>283</v>
      </c>
      <c r="B13" s="414">
        <f t="shared" si="0"/>
        <v>12</v>
      </c>
      <c r="C13" s="414">
        <v>11</v>
      </c>
      <c r="D13" s="415">
        <v>2020</v>
      </c>
      <c r="E13" s="416">
        <f>'UTILITY REPORT 1'!F14</f>
        <v>2328</v>
      </c>
      <c r="F13" s="417">
        <f>('UTILITY REPORT 1'!E14*'UTILITY REPORT 1'!D14)/'UTILITY REPORT 1'!F14</f>
        <v>0.46518900343642611</v>
      </c>
      <c r="G13" s="417">
        <f>IF('Utility summery'!M17&lt;0,"0",'Utility summery'!M17)</f>
        <v>54.163999999989763</v>
      </c>
      <c r="H13" s="422">
        <v>2.165</v>
      </c>
      <c r="I13" s="417">
        <f>IF('UTILITY REPORT 1'!G14&lt;0,"0",'UTILITY REPORT 1'!G14)</f>
        <v>48</v>
      </c>
      <c r="J13" s="422">
        <v>0</v>
      </c>
      <c r="K13" s="416">
        <f>'UTILITY REPORT 1'!C14</f>
        <v>5</v>
      </c>
      <c r="L13" s="418" t="e">
        <f>E13*F13+G13*H13+#REF!*#REF!+I13*J13</f>
        <v>#REF!</v>
      </c>
    </row>
    <row r="14" spans="1:12" x14ac:dyDescent="0.2">
      <c r="A14" s="413" t="s">
        <v>283</v>
      </c>
      <c r="B14" s="414">
        <f t="shared" si="0"/>
        <v>13</v>
      </c>
      <c r="C14" s="414">
        <v>11</v>
      </c>
      <c r="D14" s="415">
        <v>2020</v>
      </c>
      <c r="E14" s="416">
        <f>'UTILITY REPORT 1'!F15</f>
        <v>2362</v>
      </c>
      <c r="F14" s="417">
        <f>('UTILITY REPORT 1'!E15*'UTILITY REPORT 1'!D15)/'UTILITY REPORT 1'!F15</f>
        <v>0.40613463166807789</v>
      </c>
      <c r="G14" s="417">
        <f>IF('Utility summery'!M18&lt;0,"0",'Utility summery'!M18)</f>
        <v>68.508000000030734</v>
      </c>
      <c r="H14" s="422">
        <v>2.165</v>
      </c>
      <c r="I14" s="417">
        <f>IF('UTILITY REPORT 1'!G15&lt;0,"0",'UTILITY REPORT 1'!G15)</f>
        <v>62</v>
      </c>
      <c r="J14" s="422">
        <v>0</v>
      </c>
      <c r="K14" s="416">
        <f>'UTILITY REPORT 1'!C15</f>
        <v>7</v>
      </c>
      <c r="L14" s="418" t="e">
        <f>E14*F14+G14*H14+#REF!*#REF!+I14*J14</f>
        <v>#REF!</v>
      </c>
    </row>
    <row r="15" spans="1:12" x14ac:dyDescent="0.2">
      <c r="A15" s="413" t="s">
        <v>283</v>
      </c>
      <c r="B15" s="414">
        <f t="shared" si="0"/>
        <v>14</v>
      </c>
      <c r="C15" s="414">
        <v>11</v>
      </c>
      <c r="D15" s="415">
        <v>2020</v>
      </c>
      <c r="E15" s="416">
        <f>'UTILITY REPORT 1'!F16</f>
        <v>2380</v>
      </c>
      <c r="F15" s="417">
        <f>('UTILITY REPORT 1'!E16*'UTILITY REPORT 1'!D16)/'UTILITY REPORT 1'!F16</f>
        <v>0.40457563025210086</v>
      </c>
      <c r="G15" s="417">
        <f>IF('Utility summery'!M19&lt;0,"0",'Utility summery'!M19)</f>
        <v>69.343999999976958</v>
      </c>
      <c r="H15" s="422">
        <v>2.165</v>
      </c>
      <c r="I15" s="417">
        <f>IF('UTILITY REPORT 1'!G16&lt;0,"0",'UTILITY REPORT 1'!G16)</f>
        <v>52</v>
      </c>
      <c r="J15" s="422">
        <v>0</v>
      </c>
      <c r="K15" s="416">
        <f>'UTILITY REPORT 1'!C16</f>
        <v>15</v>
      </c>
      <c r="L15" s="418" t="e">
        <f>E15*F15+G15*H15+#REF!*#REF!+I15*J15</f>
        <v>#REF!</v>
      </c>
    </row>
    <row r="16" spans="1:12" x14ac:dyDescent="0.2">
      <c r="A16" s="413" t="s">
        <v>283</v>
      </c>
      <c r="B16" s="414">
        <f t="shared" si="0"/>
        <v>15</v>
      </c>
      <c r="C16" s="414">
        <v>11</v>
      </c>
      <c r="D16" s="415">
        <v>2020</v>
      </c>
      <c r="E16" s="416">
        <f>'UTILITY REPORT 1'!F17</f>
        <v>2337</v>
      </c>
      <c r="F16" s="417">
        <f>('UTILITY REPORT 1'!E17*'UTILITY REPORT 1'!D17)/'UTILITY REPORT 1'!F17</f>
        <v>0.4514634146341463</v>
      </c>
      <c r="G16" s="417">
        <f>IF('Utility summery'!M20&lt;0,"0",'Utility summery'!M20)</f>
        <v>95.392000000033306</v>
      </c>
      <c r="H16" s="422">
        <v>2.165</v>
      </c>
      <c r="I16" s="417">
        <f>IF('UTILITY REPORT 1'!G17&lt;0,"0",'UTILITY REPORT 1'!G17)</f>
        <v>78</v>
      </c>
      <c r="J16" s="422">
        <v>0</v>
      </c>
      <c r="K16" s="416">
        <f>'UTILITY REPORT 1'!C17</f>
        <v>13</v>
      </c>
      <c r="L16" s="418" t="e">
        <f>E16*F16+G16*H16+#REF!*#REF!+I16*J16</f>
        <v>#REF!</v>
      </c>
    </row>
    <row r="17" spans="1:12" x14ac:dyDescent="0.2">
      <c r="A17" s="413" t="s">
        <v>283</v>
      </c>
      <c r="B17" s="414">
        <f t="shared" si="0"/>
        <v>16</v>
      </c>
      <c r="C17" s="414">
        <v>11</v>
      </c>
      <c r="D17" s="415">
        <v>2020</v>
      </c>
      <c r="E17" s="416">
        <f>'UTILITY REPORT 1'!F18</f>
        <v>2468</v>
      </c>
      <c r="F17" s="417">
        <f>('UTILITY REPORT 1'!E18*'UTILITY REPORT 1'!D18)/'UTILITY REPORT 1'!F18</f>
        <v>0.45771880064829823</v>
      </c>
      <c r="G17" s="417">
        <f>IF('Utility summery'!M21&lt;0,"0",'Utility summery'!M21)</f>
        <v>82.763999999989764</v>
      </c>
      <c r="H17" s="422">
        <v>2.165</v>
      </c>
      <c r="I17" s="417">
        <f>IF('UTILITY REPORT 1'!G18&lt;0,"0",'UTILITY REPORT 1'!G18)</f>
        <v>52</v>
      </c>
      <c r="J17" s="422">
        <v>0</v>
      </c>
      <c r="K17" s="416">
        <f>'UTILITY REPORT 1'!C18</f>
        <v>12</v>
      </c>
      <c r="L17" s="418" t="e">
        <f>E17*F17+G17*H17+#REF!*#REF!+I17*J17</f>
        <v>#REF!</v>
      </c>
    </row>
    <row r="18" spans="1:12" x14ac:dyDescent="0.2">
      <c r="A18" s="413" t="s">
        <v>283</v>
      </c>
      <c r="B18" s="414">
        <f t="shared" si="0"/>
        <v>17</v>
      </c>
      <c r="C18" s="414">
        <v>11</v>
      </c>
      <c r="D18" s="415">
        <v>2020</v>
      </c>
      <c r="E18" s="416">
        <f>'UTILITY REPORT 1'!F19</f>
        <v>2266</v>
      </c>
      <c r="F18" s="417">
        <f>('UTILITY REPORT 1'!E19*'UTILITY REPORT 1'!D19)/'UTILITY REPORT 1'!F19</f>
        <v>0.40996469549867609</v>
      </c>
      <c r="G18" s="417">
        <f>IF('Utility summery'!M22&lt;0,"0",'Utility summery'!M22)</f>
        <v>77.572000000020495</v>
      </c>
      <c r="H18" s="422">
        <v>2.165</v>
      </c>
      <c r="I18" s="417">
        <f>IF('UTILITY REPORT 1'!G19&lt;0,"0",'UTILITY REPORT 1'!G19)</f>
        <v>53</v>
      </c>
      <c r="J18" s="422">
        <v>0</v>
      </c>
      <c r="K18" s="416">
        <f>'UTILITY REPORT 1'!C19</f>
        <v>0</v>
      </c>
      <c r="L18" s="418" t="e">
        <f>E18*F18+G18*H18+#REF!*#REF!+I18*J18</f>
        <v>#REF!</v>
      </c>
    </row>
    <row r="19" spans="1:12" x14ac:dyDescent="0.2">
      <c r="A19" s="413" t="s">
        <v>283</v>
      </c>
      <c r="B19" s="414">
        <f t="shared" si="0"/>
        <v>18</v>
      </c>
      <c r="C19" s="414">
        <v>11</v>
      </c>
      <c r="D19" s="415">
        <v>2020</v>
      </c>
      <c r="E19" s="416">
        <f>'UTILITY REPORT 1'!F20</f>
        <v>2398</v>
      </c>
      <c r="F19" s="417">
        <f>('UTILITY REPORT 1'!E20*'UTILITY REPORT 1'!D20)/'UTILITY REPORT 1'!F20</f>
        <v>0.41586321934945786</v>
      </c>
      <c r="G19" s="417">
        <f>IF('Utility summery'!M23&lt;0,"0",'Utility summery'!M23)</f>
        <v>75.283999999938544</v>
      </c>
      <c r="H19" s="422">
        <v>2.165</v>
      </c>
      <c r="I19" s="417">
        <f>IF('UTILITY REPORT 1'!G20&lt;0,"0",'UTILITY REPORT 1'!G20)</f>
        <v>51</v>
      </c>
      <c r="J19" s="422">
        <v>0</v>
      </c>
      <c r="K19" s="416">
        <f>'UTILITY REPORT 1'!C20</f>
        <v>0</v>
      </c>
      <c r="L19" s="418" t="e">
        <f>E19*F19+G19*H19+#REF!*#REF!+I19*J19</f>
        <v>#REF!</v>
      </c>
    </row>
    <row r="20" spans="1:12" x14ac:dyDescent="0.2">
      <c r="A20" s="413" t="s">
        <v>283</v>
      </c>
      <c r="B20" s="414">
        <f t="shared" si="0"/>
        <v>19</v>
      </c>
      <c r="C20" s="414">
        <v>11</v>
      </c>
      <c r="D20" s="415">
        <v>2020</v>
      </c>
      <c r="E20" s="416">
        <f>'UTILITY REPORT 1'!F21</f>
        <v>2587</v>
      </c>
      <c r="F20" s="417">
        <f>('UTILITY REPORT 1'!E21*'UTILITY REPORT 1'!D21)/'UTILITY REPORT 1'!F21</f>
        <v>0.40265558562040976</v>
      </c>
      <c r="G20" s="417">
        <f>IF('Utility summery'!M24&lt;0,"0",'Utility summery'!M24)</f>
        <v>73.524000000028181</v>
      </c>
      <c r="H20" s="422">
        <v>2.165</v>
      </c>
      <c r="I20" s="417">
        <f>IF('UTILITY REPORT 1'!G21&lt;0,"0",'UTILITY REPORT 1'!G21)</f>
        <v>127</v>
      </c>
      <c r="J20" s="422">
        <v>0</v>
      </c>
      <c r="K20" s="416">
        <f>'UTILITY REPORT 1'!C21</f>
        <v>0</v>
      </c>
      <c r="L20" s="418" t="e">
        <f>E20*F20+G20*H20+#REF!*#REF!+I20*J20</f>
        <v>#REF!</v>
      </c>
    </row>
    <row r="21" spans="1:12" x14ac:dyDescent="0.2">
      <c r="A21" s="413" t="s">
        <v>283</v>
      </c>
      <c r="B21" s="414">
        <f t="shared" si="0"/>
        <v>20</v>
      </c>
      <c r="C21" s="414">
        <v>11</v>
      </c>
      <c r="D21" s="415">
        <v>2020</v>
      </c>
      <c r="E21" s="416">
        <f>'UTILITY REPORT 1'!F22</f>
        <v>2592</v>
      </c>
      <c r="F21" s="417">
        <f>('UTILITY REPORT 1'!E22*'UTILITY REPORT 1'!D22)/'UTILITY REPORT 1'!F22</f>
        <v>0.38775462962962964</v>
      </c>
      <c r="G21" s="417">
        <f>IF('Utility summery'!M25&lt;0,"0",'Utility summery'!M25)</f>
        <v>99.175999999971836</v>
      </c>
      <c r="H21" s="422">
        <v>2.165</v>
      </c>
      <c r="I21" s="417">
        <f>IF('UTILITY REPORT 1'!G22&lt;0,"0",'UTILITY REPORT 1'!G22)</f>
        <v>46</v>
      </c>
      <c r="J21" s="422">
        <v>0</v>
      </c>
      <c r="K21" s="416">
        <f>'UTILITY REPORT 1'!C22</f>
        <v>0</v>
      </c>
      <c r="L21" s="418" t="e">
        <f>E21*F21+G21*H21+#REF!*#REF!+I21*J21</f>
        <v>#REF!</v>
      </c>
    </row>
    <row r="22" spans="1:12" x14ac:dyDescent="0.2">
      <c r="A22" s="413" t="s">
        <v>283</v>
      </c>
      <c r="B22" s="414">
        <f t="shared" si="0"/>
        <v>21</v>
      </c>
      <c r="C22" s="414">
        <v>11</v>
      </c>
      <c r="D22" s="415">
        <v>2020</v>
      </c>
      <c r="E22" s="416">
        <f>'UTILITY REPORT 1'!F23</f>
        <v>2673</v>
      </c>
      <c r="F22" s="417">
        <f>('UTILITY REPORT 1'!E23*'UTILITY REPORT 1'!D23)/'UTILITY REPORT 1'!F23</f>
        <v>0.41355780022446692</v>
      </c>
      <c r="G22" s="417">
        <f>IF('Utility summery'!M26&lt;0,"0",'Utility summery'!M26)</f>
        <v>85.360000000038426</v>
      </c>
      <c r="H22" s="422">
        <v>2.165</v>
      </c>
      <c r="I22" s="417">
        <f>IF('UTILITY REPORT 1'!G23&lt;0,"0",'UTILITY REPORT 1'!G23)</f>
        <v>47</v>
      </c>
      <c r="J22" s="422">
        <v>0</v>
      </c>
      <c r="K22" s="416">
        <f>'UTILITY REPORT 1'!C23</f>
        <v>0</v>
      </c>
      <c r="L22" s="418" t="e">
        <f>E22*F22+G22*H22+#REF!*#REF!+I22*J22</f>
        <v>#REF!</v>
      </c>
    </row>
    <row r="23" spans="1:12" x14ac:dyDescent="0.2">
      <c r="A23" s="413" t="s">
        <v>283</v>
      </c>
      <c r="B23" s="414">
        <f t="shared" si="0"/>
        <v>22</v>
      </c>
      <c r="C23" s="414">
        <v>11</v>
      </c>
      <c r="D23" s="415">
        <v>2020</v>
      </c>
      <c r="E23" s="416">
        <f>'UTILITY REPORT 1'!F24</f>
        <v>2585</v>
      </c>
      <c r="F23" s="417">
        <f>('UTILITY REPORT 1'!E24*'UTILITY REPORT 1'!D24)/'UTILITY REPORT 1'!F24</f>
        <v>0.40388394584139264</v>
      </c>
      <c r="G23" s="417">
        <f>IF('Utility summery'!M27&lt;0,"0",'Utility summery'!M27)</f>
        <v>86.547999999992328</v>
      </c>
      <c r="H23" s="422">
        <v>2.165</v>
      </c>
      <c r="I23" s="417">
        <f>IF('UTILITY REPORT 1'!G24&lt;0,"0",'UTILITY REPORT 1'!G24)</f>
        <v>51</v>
      </c>
      <c r="J23" s="422">
        <v>0</v>
      </c>
      <c r="K23" s="416">
        <f>'UTILITY REPORT 1'!C24</f>
        <v>0</v>
      </c>
      <c r="L23" s="418" t="e">
        <f>E23*F23+G23*H23+#REF!*#REF!+I23*J23</f>
        <v>#REF!</v>
      </c>
    </row>
    <row r="24" spans="1:12" x14ac:dyDescent="0.2">
      <c r="A24" s="413" t="s">
        <v>283</v>
      </c>
      <c r="B24" s="414">
        <f t="shared" si="0"/>
        <v>23</v>
      </c>
      <c r="C24" s="414">
        <v>11</v>
      </c>
      <c r="D24" s="415">
        <v>2020</v>
      </c>
      <c r="E24" s="416">
        <f>'UTILITY REPORT 1'!F25</f>
        <v>2587</v>
      </c>
      <c r="F24" s="417">
        <f>('UTILITY REPORT 1'!E25*'UTILITY REPORT 1'!D25)/'UTILITY REPORT 1'!F25</f>
        <v>0.41547738693467334</v>
      </c>
      <c r="G24" s="417">
        <f>IF('Utility summery'!M28&lt;0,"0",'Utility summery'!M28)</f>
        <v>65.73600000001025</v>
      </c>
      <c r="H24" s="422">
        <v>2.165</v>
      </c>
      <c r="I24" s="417">
        <f>IF('UTILITY REPORT 1'!G25&lt;0,"0",'UTILITY REPORT 1'!G25)</f>
        <v>61</v>
      </c>
      <c r="J24" s="422">
        <v>0</v>
      </c>
      <c r="K24" s="416">
        <f>'UTILITY REPORT 1'!C25</f>
        <v>0</v>
      </c>
      <c r="L24" s="418" t="e">
        <f>E24*F24+G24*H24+#REF!*#REF!+I24*J24</f>
        <v>#REF!</v>
      </c>
    </row>
    <row r="25" spans="1:12" x14ac:dyDescent="0.2">
      <c r="A25" s="413" t="s">
        <v>283</v>
      </c>
      <c r="B25" s="414">
        <f t="shared" si="0"/>
        <v>24</v>
      </c>
      <c r="C25" s="414">
        <v>11</v>
      </c>
      <c r="D25" s="415">
        <v>2020</v>
      </c>
      <c r="E25" s="416">
        <f>'UTILITY REPORT 1'!F26</f>
        <v>2376</v>
      </c>
      <c r="F25" s="417">
        <f>('UTILITY REPORT 1'!E26*'UTILITY REPORT 1'!D26)/'UTILITY REPORT 1'!F26</f>
        <v>0.42898569023569022</v>
      </c>
      <c r="G25" s="417">
        <f>IF('Utility summery'!M29&lt;0,"0",'Utility summery'!M29)</f>
        <v>64.107999999966708</v>
      </c>
      <c r="H25" s="422">
        <v>2.165</v>
      </c>
      <c r="I25" s="417">
        <f>IF('UTILITY REPORT 1'!G26&lt;0,"0",'UTILITY REPORT 1'!G26)</f>
        <v>49</v>
      </c>
      <c r="J25" s="422">
        <v>0</v>
      </c>
      <c r="K25" s="416">
        <f>'UTILITY REPORT 1'!C26</f>
        <v>0</v>
      </c>
      <c r="L25" s="418" t="e">
        <f>E25*F25+G25*H25+#REF!*#REF!+I25*J25</f>
        <v>#REF!</v>
      </c>
    </row>
    <row r="26" spans="1:12" x14ac:dyDescent="0.2">
      <c r="A26" s="413" t="s">
        <v>283</v>
      </c>
      <c r="B26" s="414">
        <f>B25+1</f>
        <v>25</v>
      </c>
      <c r="C26" s="414">
        <v>11</v>
      </c>
      <c r="D26" s="415">
        <v>2020</v>
      </c>
      <c r="E26" s="416">
        <f>'UTILITY REPORT 1'!F27</f>
        <v>2258</v>
      </c>
      <c r="F26" s="417">
        <f>('UTILITY REPORT 1'!E27*'UTILITY REPORT 1'!D27)/'UTILITY REPORT 1'!F27</f>
        <v>0.43357838795394155</v>
      </c>
      <c r="G26" s="417">
        <f>IF('Utility summery'!M30&lt;0,"0",'Utility summery'!M30)</f>
        <v>80.344000000040978</v>
      </c>
      <c r="H26" s="422">
        <v>2.165</v>
      </c>
      <c r="I26" s="417">
        <f>IF('UTILITY REPORT 1'!G27&lt;0,"0",'UTILITY REPORT 1'!G27)</f>
        <v>50</v>
      </c>
      <c r="J26" s="422">
        <v>0</v>
      </c>
      <c r="K26" s="416">
        <f>'UTILITY REPORT 1'!C27</f>
        <v>0</v>
      </c>
      <c r="L26" s="418" t="e">
        <f>E26*F26+G26*H26+#REF!*#REF!+I26*J26</f>
        <v>#REF!</v>
      </c>
    </row>
    <row r="27" spans="1:12" x14ac:dyDescent="0.2">
      <c r="A27" s="413" t="s">
        <v>283</v>
      </c>
      <c r="B27" s="414">
        <f t="shared" si="0"/>
        <v>26</v>
      </c>
      <c r="C27" s="414">
        <v>11</v>
      </c>
      <c r="D27" s="415">
        <v>2020</v>
      </c>
      <c r="E27" s="416">
        <f>'UTILITY REPORT 1'!F28</f>
        <v>2255</v>
      </c>
      <c r="F27" s="417">
        <f>('UTILITY REPORT 1'!E28*'UTILITY REPORT 1'!D28)/'UTILITY REPORT 1'!F28</f>
        <v>0.4116008869179601</v>
      </c>
      <c r="G27" s="417">
        <f>IF('Utility summery'!M31&lt;0,"0",'Utility summery'!M31)</f>
        <v>78.71599999999745</v>
      </c>
      <c r="H27" s="422">
        <v>2.165</v>
      </c>
      <c r="I27" s="417">
        <f>IF('UTILITY REPORT 1'!G28&lt;0,"0",'UTILITY REPORT 1'!G28)</f>
        <v>56</v>
      </c>
      <c r="J27" s="422">
        <v>0</v>
      </c>
      <c r="K27" s="416">
        <f>'UTILITY REPORT 1'!C28</f>
        <v>0</v>
      </c>
      <c r="L27" s="418" t="e">
        <f>E27*F27+G27*H27+#REF!*#REF!+I27*J27</f>
        <v>#REF!</v>
      </c>
    </row>
    <row r="28" spans="1:12" x14ac:dyDescent="0.2">
      <c r="A28" s="413" t="s">
        <v>283</v>
      </c>
      <c r="B28" s="414">
        <f t="shared" si="0"/>
        <v>27</v>
      </c>
      <c r="C28" s="414">
        <v>11</v>
      </c>
      <c r="D28" s="415">
        <v>2020</v>
      </c>
      <c r="E28" s="416">
        <f>'UTILITY REPORT 1'!F29</f>
        <v>2395</v>
      </c>
      <c r="F28" s="417">
        <f>('UTILITY REPORT 1'!E29*'UTILITY REPORT 1'!D29)/'UTILITY REPORT 1'!F29</f>
        <v>0.42654697286012527</v>
      </c>
      <c r="G28" s="417">
        <f>IF('Utility summery'!M32&lt;0,"0",'Utility summery'!M32)</f>
        <v>42.371999999956465</v>
      </c>
      <c r="H28" s="422">
        <v>2.165</v>
      </c>
      <c r="I28" s="417">
        <f>IF('UTILITY REPORT 1'!G29&lt;0,"0",'UTILITY REPORT 1'!G29)</f>
        <v>47</v>
      </c>
      <c r="J28" s="422">
        <v>0</v>
      </c>
      <c r="K28" s="416">
        <f>'UTILITY REPORT 1'!C29</f>
        <v>0</v>
      </c>
      <c r="L28" s="418" t="e">
        <f>E28*F28+G28*H28+#REF!*#REF!+I28*J28</f>
        <v>#REF!</v>
      </c>
    </row>
    <row r="29" spans="1:12" x14ac:dyDescent="0.2">
      <c r="A29" s="413" t="s">
        <v>283</v>
      </c>
      <c r="B29" s="414">
        <f t="shared" si="0"/>
        <v>28</v>
      </c>
      <c r="C29" s="414">
        <v>11</v>
      </c>
      <c r="D29" s="415">
        <v>2020</v>
      </c>
      <c r="E29" s="416">
        <v>2395</v>
      </c>
      <c r="F29" s="417">
        <v>0.43</v>
      </c>
      <c r="G29" s="417">
        <f>IF('Utility summery'!M33&lt;0,"0",'Utility summery'!M33)</f>
        <v>67.71599999999745</v>
      </c>
      <c r="H29" s="422">
        <v>2.165</v>
      </c>
      <c r="I29" s="417">
        <f>IF('UTILITY REPORT 1'!G30&lt;0,"0",'UTILITY REPORT 1'!G30)</f>
        <v>45</v>
      </c>
      <c r="J29" s="422">
        <v>0</v>
      </c>
      <c r="K29" s="416">
        <f>'UTILITY REPORT 1'!C30</f>
        <v>0</v>
      </c>
      <c r="L29" s="418" t="e">
        <f>E29*F29+G29*H29+#REF!*#REF!+I29*J29</f>
        <v>#REF!</v>
      </c>
    </row>
    <row r="30" spans="1:12" x14ac:dyDescent="0.2">
      <c r="A30" s="413" t="s">
        <v>283</v>
      </c>
      <c r="B30" s="414">
        <f t="shared" si="0"/>
        <v>29</v>
      </c>
      <c r="C30" s="414">
        <v>11</v>
      </c>
      <c r="D30" s="415">
        <v>2020</v>
      </c>
      <c r="E30" s="416">
        <f>'UTILITY REPORT 1'!F31</f>
        <v>2264</v>
      </c>
      <c r="F30" s="417">
        <f>('UTILITY REPORT 1'!E31*'UTILITY REPORT 1'!D31)/'UTILITY REPORT 1'!F31</f>
        <v>0.42375000000000002</v>
      </c>
      <c r="G30" s="417">
        <f>IF('Utility summery'!M34&lt;0,"0",'Utility summery'!M34)</f>
        <v>28.996000000048664</v>
      </c>
      <c r="H30" s="422">
        <v>2.165</v>
      </c>
      <c r="I30" s="417">
        <f>IF('UTILITY REPORT 1'!G31&lt;0,"0",'UTILITY REPORT 1'!G31)</f>
        <v>62</v>
      </c>
      <c r="J30" s="422">
        <v>0</v>
      </c>
      <c r="K30" s="416">
        <f>'UTILITY REPORT 1'!C31</f>
        <v>0</v>
      </c>
      <c r="L30" s="418" t="e">
        <f>E30*F30+G30*H30+#REF!*#REF!+I30*J30</f>
        <v>#REF!</v>
      </c>
    </row>
    <row r="31" spans="1:12" x14ac:dyDescent="0.2">
      <c r="A31" s="413" t="s">
        <v>283</v>
      </c>
      <c r="B31" s="414">
        <v>30</v>
      </c>
      <c r="C31" s="414">
        <v>11</v>
      </c>
      <c r="D31" s="415">
        <v>2020</v>
      </c>
      <c r="E31" s="416">
        <v>2264</v>
      </c>
      <c r="F31" s="417">
        <v>0.42</v>
      </c>
      <c r="G31" s="417">
        <f>IF('Utility summery'!M35&lt;0,"0",'Utility summery'!M35)</f>
        <v>67.847999999992325</v>
      </c>
      <c r="H31" s="422">
        <v>2.165</v>
      </c>
      <c r="I31" s="417">
        <f>IF('UTILITY REPORT 1'!G32&lt;0,"0",'UTILITY REPORT 1'!G32)</f>
        <v>46</v>
      </c>
      <c r="J31" s="422">
        <v>0</v>
      </c>
      <c r="K31" s="416">
        <f>'UTILITY REPORT 1'!C32</f>
        <v>0</v>
      </c>
      <c r="L31" s="418" t="e">
        <f>E31*F31+G31*H31+#REF!*#REF!+I31*J31</f>
        <v>#REF!</v>
      </c>
    </row>
    <row r="32" spans="1:12" x14ac:dyDescent="0.2">
      <c r="F32" s="417"/>
      <c r="G32" s="417"/>
      <c r="H32" s="422"/>
      <c r="I32" s="417" t="s">
        <v>253</v>
      </c>
      <c r="J32" s="422"/>
    </row>
    <row r="33" spans="6:10" x14ac:dyDescent="0.2">
      <c r="F33" s="417"/>
      <c r="G33" s="417"/>
      <c r="H33" s="422"/>
      <c r="I33" s="417"/>
      <c r="J33" s="422"/>
    </row>
    <row r="34" spans="6:10" x14ac:dyDescent="0.2">
      <c r="F34" s="417"/>
      <c r="G34" s="417"/>
      <c r="H34" s="422"/>
      <c r="I34" s="417"/>
      <c r="J34" s="422"/>
    </row>
    <row r="35" spans="6:10" x14ac:dyDescent="0.2">
      <c r="F35" s="417"/>
      <c r="G35" s="417"/>
      <c r="H35" s="422"/>
      <c r="I35" s="417"/>
      <c r="J35" s="422"/>
    </row>
    <row r="36" spans="6:10" x14ac:dyDescent="0.2">
      <c r="F36" s="417"/>
      <c r="G36" s="417"/>
      <c r="H36" s="422"/>
      <c r="I36" s="417"/>
      <c r="J36" s="422"/>
    </row>
    <row r="37" spans="6:10" x14ac:dyDescent="0.2">
      <c r="F37" s="417"/>
      <c r="G37" s="417"/>
      <c r="H37" s="422"/>
      <c r="I37" s="417"/>
      <c r="J37" s="422"/>
    </row>
    <row r="38" spans="6:10" x14ac:dyDescent="0.2">
      <c r="F38" s="417"/>
      <c r="G38" s="417"/>
      <c r="H38" s="422"/>
      <c r="I38" s="417"/>
      <c r="J38" s="4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37"/>
  <sheetViews>
    <sheetView tabSelected="1" workbookViewId="0">
      <selection activeCell="I18" sqref="I18"/>
    </sheetView>
  </sheetViews>
  <sheetFormatPr defaultColWidth="11.5703125" defaultRowHeight="12.75" x14ac:dyDescent="0.2"/>
  <cols>
    <col min="1" max="1" width="12.42578125" style="12" customWidth="1"/>
    <col min="2" max="3" width="11.5703125" style="414"/>
    <col min="4" max="4" width="13.42578125" style="415" customWidth="1"/>
    <col min="5" max="6" width="12.5703125" style="12" customWidth="1"/>
    <col min="7" max="7" width="12.5703125" style="416" customWidth="1"/>
    <col min="8" max="10" width="11.5703125" style="12"/>
    <col min="11" max="11" width="12.5703125" style="416" customWidth="1"/>
    <col min="12" max="12" width="11.5703125" style="12"/>
    <col min="13" max="14" width="11.5703125" style="41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2" customFormat="1" ht="60.75" thickBot="1" x14ac:dyDescent="0.3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 x14ac:dyDescent="0.2">
      <c r="A2" s="459" t="s">
        <v>283</v>
      </c>
      <c r="B2" s="460">
        <v>1</v>
      </c>
      <c r="C2" s="460">
        <v>11</v>
      </c>
      <c r="D2" s="461">
        <v>2020</v>
      </c>
      <c r="E2" s="462">
        <f>'UTILITY REPORT 1'!I3</f>
        <v>0</v>
      </c>
      <c r="F2" s="462">
        <f>'UTILITY REPORT 1'!E3</f>
        <v>956.05</v>
      </c>
      <c r="G2" s="463">
        <f>'UTILITY REPORT 1'!F3</f>
        <v>2415</v>
      </c>
      <c r="H2" s="462">
        <f>IF('Kit report'!F4&lt;0,"0",'Kit report'!F4)</f>
        <v>203.99999999986903</v>
      </c>
      <c r="I2" s="462">
        <f>IF('Kit report'!X4&lt;0,"0",'Kit report'!X4)</f>
        <v>139.99999999996362</v>
      </c>
      <c r="J2" s="462">
        <f>IF('Utility summery'!H6&lt;0,"0",'Utility summery'!H6)</f>
        <v>36</v>
      </c>
      <c r="K2" s="463">
        <f>IF('UTILITY REPORT 1'!H3&lt;0,"0",'UTILITY REPORT 1'!H3)</f>
        <v>41</v>
      </c>
      <c r="L2" s="462">
        <f>'Water-Meter'!K6</f>
        <v>0</v>
      </c>
      <c r="M2" s="463">
        <f>'Water-Meter'!H6</f>
        <v>0</v>
      </c>
      <c r="N2" s="463">
        <f>'Water-Meter'!Q6</f>
        <v>5</v>
      </c>
      <c r="O2" s="462" t="e">
        <f>K2*E2+H2*I2+#REF!*#REF!+J2*L2</f>
        <v>#REF!</v>
      </c>
      <c r="P2" s="462">
        <f>'Water-Meter'!E6</f>
        <v>54</v>
      </c>
      <c r="Q2" s="404">
        <f>IF('Water-Meter'!U6&lt;0,"0",'Water-Meter'!U6)</f>
        <v>0</v>
      </c>
      <c r="R2" s="404">
        <f>IF('Water-Meter'!X6&lt;0,"0",'Water-Meter'!X6)</f>
        <v>0</v>
      </c>
      <c r="S2" s="404">
        <f>IF('Water-Meter'!AA6&lt;0,"0",'Water-Meter'!AA6)</f>
        <v>1</v>
      </c>
      <c r="T2" s="404">
        <f>IF('Water-Meter'!AD6&lt;0,"0",'Water-Meter'!AD6)</f>
        <v>19</v>
      </c>
      <c r="U2" s="404">
        <f>IF('Water-Meter'!AG6&lt;0,"0",'Water-Meter'!AG6)</f>
        <v>0</v>
      </c>
      <c r="V2" s="404">
        <f>IF('Water-Meter'!AJ6&lt;0,"0",'Water-Meter'!AJ6)</f>
        <v>22</v>
      </c>
      <c r="W2" s="31">
        <f>'Water-Meter'!AN6</f>
        <v>42</v>
      </c>
      <c r="X2" s="473">
        <f>Total!K2</f>
        <v>3</v>
      </c>
    </row>
    <row r="3" spans="1:24" x14ac:dyDescent="0.2">
      <c r="A3" s="458" t="s">
        <v>283</v>
      </c>
      <c r="B3" s="455">
        <f>B2+1</f>
        <v>2</v>
      </c>
      <c r="C3" s="460">
        <v>11</v>
      </c>
      <c r="D3" s="461">
        <v>2020</v>
      </c>
      <c r="E3" s="456">
        <f>'UTILITY REPORT 1'!I4</f>
        <v>0</v>
      </c>
      <c r="F3" s="456">
        <f>'UTILITY REPORT 1'!E4</f>
        <v>1107.92</v>
      </c>
      <c r="G3" s="457">
        <f>'UTILITY REPORT 1'!F4</f>
        <v>2617</v>
      </c>
      <c r="H3" s="456">
        <f>IF('Kit report'!F5&lt;0,"0",'Kit report'!F5)</f>
        <v>216.00000000013097</v>
      </c>
      <c r="I3" s="456">
        <f>IF('Kit report'!X5&lt;0,"0",'Kit report'!X5)</f>
        <v>220.00000000007276</v>
      </c>
      <c r="J3" s="456">
        <f>IF('Utility summery'!H7&lt;0,"0",'Utility summery'!H7)</f>
        <v>26</v>
      </c>
      <c r="K3" s="457">
        <f>IF('UTILITY REPORT 1'!H4&lt;0,"0",'UTILITY REPORT 1'!H4)</f>
        <v>48</v>
      </c>
      <c r="L3" s="456">
        <f>'Water-Meter'!K7</f>
        <v>1</v>
      </c>
      <c r="M3" s="457">
        <f>'Water-Meter'!H7</f>
        <v>0</v>
      </c>
      <c r="N3" s="457">
        <f>'Water-Meter'!Q7</f>
        <v>3</v>
      </c>
      <c r="O3" s="456" t="e">
        <f>K3*E3+H3*I3+#REF!*#REF!+J3*L3</f>
        <v>#REF!</v>
      </c>
      <c r="P3" s="462">
        <f>'Water-Meter'!E7</f>
        <v>48</v>
      </c>
      <c r="Q3" s="243">
        <f>IF('Water-Meter'!U7&lt;0,"0",'Water-Meter'!U7)</f>
        <v>61</v>
      </c>
      <c r="R3" s="243">
        <f>IF('Water-Meter'!X7&lt;0,"0",'Water-Meter'!X7)</f>
        <v>0</v>
      </c>
      <c r="S3" s="243">
        <f>IF('Water-Meter'!AA7&lt;0,"0",'Water-Meter'!AA7)</f>
        <v>0</v>
      </c>
      <c r="T3" s="243">
        <f>IF('Water-Meter'!AD7&lt;0,"0",'Water-Meter'!AD7)</f>
        <v>19</v>
      </c>
      <c r="U3" s="243">
        <f>IF('Water-Meter'!AG7&lt;0,"0",'Water-Meter'!AG7)</f>
        <v>0</v>
      </c>
      <c r="V3" s="243">
        <f>IF('Water-Meter'!AJ7&lt;0,"0",'Water-Meter'!AJ7)</f>
        <v>23</v>
      </c>
      <c r="W3" s="31">
        <f>'Water-Meter'!AN7</f>
        <v>103</v>
      </c>
      <c r="X3" s="473">
        <f>Total!K3</f>
        <v>5</v>
      </c>
    </row>
    <row r="4" spans="1:24" x14ac:dyDescent="0.2">
      <c r="A4" s="458" t="s">
        <v>283</v>
      </c>
      <c r="B4" s="455">
        <f t="shared" ref="B4:B30" si="0">B3+1</f>
        <v>3</v>
      </c>
      <c r="C4" s="460">
        <v>11</v>
      </c>
      <c r="D4" s="461">
        <v>2020</v>
      </c>
      <c r="E4" s="456">
        <f>'UTILITY REPORT 1'!I5</f>
        <v>0</v>
      </c>
      <c r="F4" s="456">
        <f>'UTILITY REPORT 1'!E5</f>
        <v>1164.9899999999998</v>
      </c>
      <c r="G4" s="457">
        <f>'UTILITY REPORT 1'!F5</f>
        <v>2592</v>
      </c>
      <c r="H4" s="456">
        <f>IF('Kit report'!F6&lt;0,"0",'Kit report'!F6)</f>
        <v>215.99999999991269</v>
      </c>
      <c r="I4" s="456">
        <f>IF('Kit report'!X6&lt;0,"0",'Kit report'!X6)</f>
        <v>100</v>
      </c>
      <c r="J4" s="456">
        <f>IF('Utility summery'!H8&lt;0,"0",'Utility summery'!H8)</f>
        <v>26</v>
      </c>
      <c r="K4" s="457">
        <f>IF('UTILITY REPORT 1'!H5&lt;0,"0",'UTILITY REPORT 1'!H5)</f>
        <v>48</v>
      </c>
      <c r="L4" s="456">
        <f>'Water-Meter'!K8</f>
        <v>2</v>
      </c>
      <c r="M4" s="457">
        <f>'Water-Meter'!H8</f>
        <v>0</v>
      </c>
      <c r="N4" s="457">
        <f>'Water-Meter'!Q8</f>
        <v>11</v>
      </c>
      <c r="O4" s="456" t="e">
        <f>K4*E4+H4*I4+#REF!*#REF!+J4*L4</f>
        <v>#REF!</v>
      </c>
      <c r="P4" s="462">
        <f>'Water-Meter'!E8</f>
        <v>81</v>
      </c>
      <c r="Q4" s="243">
        <f>IF('Water-Meter'!U8&lt;0,"0",'Water-Meter'!U8)</f>
        <v>85</v>
      </c>
      <c r="R4" s="243">
        <f>IF('Water-Meter'!X8&lt;0,"0",'Water-Meter'!X8)</f>
        <v>0</v>
      </c>
      <c r="S4" s="243">
        <f>IF('Water-Meter'!AA8&lt;0,"0",'Water-Meter'!AA8)</f>
        <v>31</v>
      </c>
      <c r="T4" s="243">
        <f>IF('Water-Meter'!AD8&lt;0,"0",'Water-Meter'!AD8)</f>
        <v>18</v>
      </c>
      <c r="U4" s="243">
        <f>IF('Water-Meter'!AG8&lt;0,"0",'Water-Meter'!AG8)</f>
        <v>0</v>
      </c>
      <c r="V4" s="243">
        <f>IF('Water-Meter'!AJ8&lt;0,"0",'Water-Meter'!AJ8)</f>
        <v>21</v>
      </c>
      <c r="W4" s="31">
        <f>'Water-Meter'!AN8</f>
        <v>155</v>
      </c>
      <c r="X4" s="473">
        <f>Total!K4</f>
        <v>7</v>
      </c>
    </row>
    <row r="5" spans="1:24" x14ac:dyDescent="0.2">
      <c r="A5" s="458" t="s">
        <v>283</v>
      </c>
      <c r="B5" s="455">
        <f t="shared" si="0"/>
        <v>4</v>
      </c>
      <c r="C5" s="460">
        <v>11</v>
      </c>
      <c r="D5" s="461">
        <v>2020</v>
      </c>
      <c r="E5" s="456">
        <f>'UTILITY REPORT 1'!I6</f>
        <v>0</v>
      </c>
      <c r="F5" s="456">
        <f>'UTILITY REPORT 1'!E6</f>
        <v>1046.3499999999999</v>
      </c>
      <c r="G5" s="457">
        <f>'UTILITY REPORT 1'!F6</f>
        <v>2655</v>
      </c>
      <c r="H5" s="456">
        <f>IF('Kit report'!F7&lt;0,"0",'Kit report'!F7)</f>
        <v>227.99999999995634</v>
      </c>
      <c r="I5" s="456">
        <f>IF('Kit report'!X7&lt;0,"0",'Kit report'!X7)</f>
        <v>60.00000000003638</v>
      </c>
      <c r="J5" s="456">
        <f>IF('Utility summery'!H9&lt;0,"0",'Utility summery'!H9)</f>
        <v>45</v>
      </c>
      <c r="K5" s="457">
        <f>IF('UTILITY REPORT 1'!H6&lt;0,"0",'UTILITY REPORT 1'!H6)</f>
        <v>77</v>
      </c>
      <c r="L5" s="456">
        <f>'Water-Meter'!K9</f>
        <v>1</v>
      </c>
      <c r="M5" s="457">
        <f>'Water-Meter'!H9</f>
        <v>0</v>
      </c>
      <c r="N5" s="457">
        <f>'Water-Meter'!Q9</f>
        <v>9</v>
      </c>
      <c r="O5" s="456" t="e">
        <f>K5*E5+H5*I5+#REF!*#REF!+J5*L5</f>
        <v>#REF!</v>
      </c>
      <c r="P5" s="462">
        <f>'Water-Meter'!E9</f>
        <v>50</v>
      </c>
      <c r="Q5" s="243">
        <f>IF('Water-Meter'!U9&lt;0,"0",'Water-Meter'!U9)</f>
        <v>81</v>
      </c>
      <c r="R5" s="243">
        <f>IF('Water-Meter'!X9&lt;0,"0",'Water-Meter'!X9)</f>
        <v>0</v>
      </c>
      <c r="S5" s="243">
        <f>IF('Water-Meter'!AA9&lt;0,"0",'Water-Meter'!AA9)</f>
        <v>48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22</v>
      </c>
      <c r="W5" s="31">
        <f>'Water-Meter'!AN9</f>
        <v>169</v>
      </c>
      <c r="X5" s="473">
        <f>Total!K5</f>
        <v>6</v>
      </c>
    </row>
    <row r="6" spans="1:24" x14ac:dyDescent="0.2">
      <c r="A6" s="458" t="s">
        <v>283</v>
      </c>
      <c r="B6" s="455">
        <f t="shared" si="0"/>
        <v>5</v>
      </c>
      <c r="C6" s="460">
        <v>11</v>
      </c>
      <c r="D6" s="461">
        <v>2020</v>
      </c>
      <c r="E6" s="456">
        <f>'UTILITY REPORT 1'!I7</f>
        <v>0</v>
      </c>
      <c r="F6" s="456">
        <f>'UTILITY REPORT 1'!E7</f>
        <v>1058.1999999999998</v>
      </c>
      <c r="G6" s="457">
        <f>'UTILITY REPORT 1'!F7</f>
        <v>2595</v>
      </c>
      <c r="H6" s="456">
        <f>IF('Kit report'!F8&lt;0,"0",'Kit report'!F8)</f>
        <v>167.99999999995634</v>
      </c>
      <c r="I6" s="456">
        <f>IF('Kit report'!X8&lt;0,"0",'Kit report'!X8)</f>
        <v>160.00000000003638</v>
      </c>
      <c r="J6" s="456">
        <f>IF('Utility summery'!H10&lt;0,"0",'Utility summery'!H10)</f>
        <v>46</v>
      </c>
      <c r="K6" s="457">
        <f>IF('UTILITY REPORT 1'!H7&lt;0,"0",'UTILITY REPORT 1'!H7)</f>
        <v>13</v>
      </c>
      <c r="L6" s="456">
        <f>'Water-Meter'!K10</f>
        <v>1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58</v>
      </c>
      <c r="Q6" s="243">
        <f>IF('Water-Meter'!U10&lt;0,"0",'Water-Meter'!U10)</f>
        <v>87</v>
      </c>
      <c r="R6" s="243">
        <f>IF('Water-Meter'!X10&lt;0,"0",'Water-Meter'!X10)</f>
        <v>0</v>
      </c>
      <c r="S6" s="243">
        <f>IF('Water-Meter'!AA10&lt;0,"0",'Water-Meter'!AA10)</f>
        <v>0</v>
      </c>
      <c r="T6" s="243">
        <f>IF('Water-Meter'!AD10&lt;0,"0",'Water-Meter'!AD10)</f>
        <v>19</v>
      </c>
      <c r="U6" s="243">
        <f>IF('Water-Meter'!AG10&lt;0,"0",'Water-Meter'!AG10)</f>
        <v>0</v>
      </c>
      <c r="V6" s="243">
        <f>IF('Water-Meter'!AJ10&lt;0,"0",'Water-Meter'!AJ10)</f>
        <v>13</v>
      </c>
      <c r="W6" s="31">
        <f>'Water-Meter'!AN10</f>
        <v>119</v>
      </c>
      <c r="X6" s="473">
        <f>Total!K6</f>
        <v>3</v>
      </c>
    </row>
    <row r="7" spans="1:24" x14ac:dyDescent="0.2">
      <c r="A7" s="458" t="s">
        <v>283</v>
      </c>
      <c r="B7" s="455">
        <f t="shared" si="0"/>
        <v>6</v>
      </c>
      <c r="C7" s="460">
        <v>11</v>
      </c>
      <c r="D7" s="461">
        <v>2020</v>
      </c>
      <c r="E7" s="456">
        <f>'UTILITY REPORT 1'!I8</f>
        <v>0</v>
      </c>
      <c r="F7" s="456">
        <f>'UTILITY REPORT 1'!E8</f>
        <v>989.81999999999994</v>
      </c>
      <c r="G7" s="457">
        <f>'UTILITY REPORT 1'!F8</f>
        <v>2217</v>
      </c>
      <c r="H7" s="456">
        <f>IF('Kit report'!F9&lt;0,"0",'Kit report'!F9)</f>
        <v>240</v>
      </c>
      <c r="I7" s="456">
        <f>IF('Kit report'!X9&lt;0,"0",'Kit report'!X9)</f>
        <v>39.99999999996362</v>
      </c>
      <c r="J7" s="456">
        <f>IF('Utility summery'!H11&lt;0,"0",'Utility summery'!H11)</f>
        <v>45</v>
      </c>
      <c r="K7" s="457">
        <f>IF('UTILITY REPORT 1'!H8&lt;0,"0",'UTILITY REPORT 1'!H8)</f>
        <v>47</v>
      </c>
      <c r="L7" s="456">
        <f>'Water-Meter'!K11</f>
        <v>0</v>
      </c>
      <c r="M7" s="457">
        <f>'Water-Meter'!H11</f>
        <v>0</v>
      </c>
      <c r="N7" s="457">
        <f>'Water-Meter'!Q11</f>
        <v>10</v>
      </c>
      <c r="O7" s="456" t="e">
        <f>K7*E7+H7*I7+#REF!*#REF!+J7*L7</f>
        <v>#REF!</v>
      </c>
      <c r="P7" s="462">
        <f>'Water-Meter'!E11</f>
        <v>62</v>
      </c>
      <c r="Q7" s="243">
        <f>IF('Water-Meter'!U11&lt;0,"0",'Water-Meter'!U11)</f>
        <v>15</v>
      </c>
      <c r="R7" s="243">
        <f>IF('Water-Meter'!X11&lt;0,"0",'Water-Meter'!X11)</f>
        <v>0</v>
      </c>
      <c r="S7" s="243">
        <f>IF('Water-Meter'!AA11&lt;0,"0",'Water-Meter'!AA11)</f>
        <v>0</v>
      </c>
      <c r="T7" s="243">
        <f>IF('Water-Meter'!AD11&lt;0,"0",'Water-Meter'!AD11)</f>
        <v>19</v>
      </c>
      <c r="U7" s="243">
        <f>IF('Water-Meter'!AG11&lt;0,"0",'Water-Meter'!AG11)</f>
        <v>0</v>
      </c>
      <c r="V7" s="243">
        <f>IF('Water-Meter'!AJ11&lt;0,"0",'Water-Meter'!AJ11)</f>
        <v>0</v>
      </c>
      <c r="W7" s="31">
        <f>'Water-Meter'!AN11</f>
        <v>34</v>
      </c>
      <c r="X7" s="473">
        <f>Total!K7</f>
        <v>6</v>
      </c>
    </row>
    <row r="8" spans="1:24" x14ac:dyDescent="0.2">
      <c r="A8" s="458" t="s">
        <v>283</v>
      </c>
      <c r="B8" s="455">
        <f t="shared" si="0"/>
        <v>7</v>
      </c>
      <c r="C8" s="460">
        <v>11</v>
      </c>
      <c r="D8" s="461">
        <v>2020</v>
      </c>
      <c r="E8" s="456">
        <f>'UTILITY REPORT 1'!I9</f>
        <v>0</v>
      </c>
      <c r="F8" s="456">
        <f>'UTILITY REPORT 1'!E9</f>
        <v>952.55</v>
      </c>
      <c r="G8" s="457">
        <f>'UTILITY REPORT 1'!F9</f>
        <v>2479</v>
      </c>
      <c r="H8" s="456">
        <f>IF('Kit report'!F10&lt;0,"0",'Kit report'!F10)</f>
        <v>132.00000000004366</v>
      </c>
      <c r="I8" s="456">
        <f>IF('Kit report'!X10&lt;0,"0",'Kit report'!X10)</f>
        <v>160.00000000003638</v>
      </c>
      <c r="J8" s="456">
        <f>IF('Utility summery'!H12&lt;0,"0",'Utility summery'!H12)</f>
        <v>46</v>
      </c>
      <c r="K8" s="457">
        <f>IF('UTILITY REPORT 1'!H9&lt;0,"0",'UTILITY REPORT 1'!H9)</f>
        <v>45</v>
      </c>
      <c r="L8" s="456">
        <f>'Water-Meter'!K12</f>
        <v>1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83</v>
      </c>
      <c r="Q8" s="243">
        <f>IF('Water-Meter'!U12&lt;0,"0",'Water-Meter'!U12)</f>
        <v>58</v>
      </c>
      <c r="R8" s="243">
        <f>IF('Water-Meter'!X12&lt;0,"0",'Water-Meter'!X12)</f>
        <v>0</v>
      </c>
      <c r="S8" s="243">
        <f>IF('Water-Meter'!AA12&lt;0,"0",'Water-Meter'!AA12)</f>
        <v>22</v>
      </c>
      <c r="T8" s="243">
        <f>IF('Water-Meter'!AD12&lt;0,"0",'Water-Meter'!AD12)</f>
        <v>18</v>
      </c>
      <c r="U8" s="243">
        <f>IF('Water-Meter'!AG12&lt;0,"0",'Water-Meter'!AG12)</f>
        <v>0</v>
      </c>
      <c r="V8" s="243">
        <f>IF('Water-Meter'!AJ12&lt;0,"0",'Water-Meter'!AJ12)</f>
        <v>16</v>
      </c>
      <c r="W8" s="31">
        <f>'Water-Meter'!AN12</f>
        <v>114</v>
      </c>
      <c r="X8" s="473">
        <f>Total!K8</f>
        <v>5</v>
      </c>
    </row>
    <row r="9" spans="1:24" x14ac:dyDescent="0.2">
      <c r="A9" s="458" t="s">
        <v>283</v>
      </c>
      <c r="B9" s="455">
        <f t="shared" si="0"/>
        <v>8</v>
      </c>
      <c r="C9" s="460">
        <v>11</v>
      </c>
      <c r="D9" s="461">
        <v>2020</v>
      </c>
      <c r="E9" s="456">
        <f>'UTILITY REPORT 1'!I10</f>
        <v>0</v>
      </c>
      <c r="F9" s="456">
        <f>'UTILITY REPORT 1'!E10</f>
        <v>1024.56</v>
      </c>
      <c r="G9" s="457">
        <f>'UTILITY REPORT 1'!F10</f>
        <v>2341</v>
      </c>
      <c r="H9" s="456">
        <f>IF('Kit report'!F11&lt;0,"0",'Kit report'!F11)</f>
        <v>156.00000000013097</v>
      </c>
      <c r="I9" s="456">
        <f>IF('Kit report'!X11&lt;0,"0",'Kit report'!X11)</f>
        <v>119.99999999989086</v>
      </c>
      <c r="J9" s="456">
        <f>IF('Utility summery'!H13&lt;0,"0",'Utility summery'!H13)</f>
        <v>46</v>
      </c>
      <c r="K9" s="457">
        <f>IF('UTILITY REPORT 1'!H10&lt;0,"0",'UTILITY REPORT 1'!H10)</f>
        <v>51</v>
      </c>
      <c r="L9" s="456">
        <f>'Water-Meter'!K13</f>
        <v>0</v>
      </c>
      <c r="M9" s="457">
        <f>'Water-Meter'!H13</f>
        <v>0</v>
      </c>
      <c r="N9" s="457">
        <f>'Water-Meter'!Q13</f>
        <v>13</v>
      </c>
      <c r="O9" s="456" t="e">
        <f>K9*E9+H9*I9+#REF!*#REF!+J9*L9</f>
        <v>#REF!</v>
      </c>
      <c r="P9" s="462">
        <f>'Water-Meter'!E13</f>
        <v>63</v>
      </c>
      <c r="Q9" s="243">
        <f>IF('Water-Meter'!U13&lt;0,"0",'Water-Meter'!U13)</f>
        <v>88</v>
      </c>
      <c r="R9" s="243">
        <f>IF('Water-Meter'!X13&lt;0,"0",'Water-Meter'!X13)</f>
        <v>0</v>
      </c>
      <c r="S9" s="243">
        <f>IF('Water-Meter'!AA13&lt;0,"0",'Water-Meter'!AA13)</f>
        <v>64</v>
      </c>
      <c r="T9" s="243">
        <f>IF('Water-Meter'!AD13&lt;0,"0",'Water-Meter'!AD13)</f>
        <v>19</v>
      </c>
      <c r="U9" s="243">
        <f>IF('Water-Meter'!AG13&lt;0,"0",'Water-Meter'!AG13)</f>
        <v>0</v>
      </c>
      <c r="V9" s="243">
        <f>IF('Water-Meter'!AJ13&lt;0,"0",'Water-Meter'!AJ13)</f>
        <v>26</v>
      </c>
      <c r="W9" s="31">
        <f>'Water-Meter'!AN13</f>
        <v>197</v>
      </c>
      <c r="X9" s="473">
        <f>Total!K9</f>
        <v>1</v>
      </c>
    </row>
    <row r="10" spans="1:24" x14ac:dyDescent="0.2">
      <c r="A10" s="458" t="s">
        <v>283</v>
      </c>
      <c r="B10" s="455">
        <f t="shared" si="0"/>
        <v>9</v>
      </c>
      <c r="C10" s="460">
        <v>11</v>
      </c>
      <c r="D10" s="461">
        <v>2020</v>
      </c>
      <c r="E10" s="456">
        <f>'UTILITY REPORT 1'!I11</f>
        <v>0</v>
      </c>
      <c r="F10" s="456">
        <f>'UTILITY REPORT 1'!E11</f>
        <v>1047.8499999999999</v>
      </c>
      <c r="G10" s="457">
        <f>'UTILITY REPORT 1'!F11</f>
        <v>2360</v>
      </c>
      <c r="H10" s="456">
        <f>IF('Kit report'!F12&lt;0,"0",'Kit report'!F12)</f>
        <v>191.99999999982538</v>
      </c>
      <c r="I10" s="456">
        <f>IF('Kit report'!X12&lt;0,"0",'Kit report'!X12)</f>
        <v>120.00000000007276</v>
      </c>
      <c r="J10" s="456">
        <f>IF('Utility summery'!H14&lt;0,"0",'Utility summery'!H14)</f>
        <v>41</v>
      </c>
      <c r="K10" s="457">
        <f>IF('UTILITY REPORT 1'!H11&lt;0,"0",'UTILITY REPORT 1'!H11)</f>
        <v>47</v>
      </c>
      <c r="L10" s="456">
        <f>'Water-Meter'!K14</f>
        <v>2</v>
      </c>
      <c r="M10" s="457">
        <f>'Water-Meter'!H14</f>
        <v>0</v>
      </c>
      <c r="N10" s="457">
        <f>'Water-Meter'!Q14</f>
        <v>8</v>
      </c>
      <c r="O10" s="456" t="e">
        <f>K10*E10+H10*I10+#REF!*#REF!+J10*L10</f>
        <v>#REF!</v>
      </c>
      <c r="P10" s="462">
        <f>'Water-Meter'!E14</f>
        <v>46</v>
      </c>
      <c r="Q10" s="243">
        <f>IF('Water-Meter'!U14&lt;0,"0",'Water-Meter'!U14)</f>
        <v>76</v>
      </c>
      <c r="R10" s="243">
        <f>IF('Water-Meter'!X14&lt;0,"0",'Water-Meter'!X14)</f>
        <v>0</v>
      </c>
      <c r="S10" s="243">
        <f>IF('Water-Meter'!AA14&lt;0,"0",'Water-Meter'!AA14)</f>
        <v>47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163</v>
      </c>
      <c r="X10" s="473">
        <f>Total!K10</f>
        <v>2</v>
      </c>
    </row>
    <row r="11" spans="1:24" x14ac:dyDescent="0.2">
      <c r="A11" s="458" t="s">
        <v>283</v>
      </c>
      <c r="B11" s="455">
        <f t="shared" si="0"/>
        <v>10</v>
      </c>
      <c r="C11" s="460">
        <v>11</v>
      </c>
      <c r="D11" s="461">
        <v>2020</v>
      </c>
      <c r="E11" s="456">
        <f>'UTILITY REPORT 1'!I12</f>
        <v>0</v>
      </c>
      <c r="F11" s="456">
        <f>'UTILITY REPORT 1'!E12</f>
        <v>933.25</v>
      </c>
      <c r="G11" s="457">
        <f>'UTILITY REPORT 1'!F12</f>
        <v>2323</v>
      </c>
      <c r="H11" s="456">
        <f>IF('Kit report'!F13&lt;0,"0",'Kit report'!F13)</f>
        <v>192.00000000004366</v>
      </c>
      <c r="I11" s="456">
        <f>IF('Kit report'!X13&lt;0,"0",'Kit report'!X13)</f>
        <v>100</v>
      </c>
      <c r="J11" s="456">
        <f>IF('Utility summery'!H15&lt;0,"0",'Utility summery'!H15)</f>
        <v>44</v>
      </c>
      <c r="K11" s="457">
        <f>IF('UTILITY REPORT 1'!H12&lt;0,"0",'UTILITY REPORT 1'!H12)</f>
        <v>49</v>
      </c>
      <c r="L11" s="456">
        <f>'Water-Meter'!K15</f>
        <v>1</v>
      </c>
      <c r="M11" s="457">
        <f>'Water-Meter'!H15</f>
        <v>0</v>
      </c>
      <c r="N11" s="457">
        <f>'Water-Meter'!Q15</f>
        <v>11</v>
      </c>
      <c r="O11" s="456" t="e">
        <f>K11*E11+H11*I11+#REF!*#REF!+J11*L11</f>
        <v>#REF!</v>
      </c>
      <c r="P11" s="462">
        <f>'Water-Meter'!E15</f>
        <v>53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56</v>
      </c>
      <c r="T11" s="243">
        <f>IF('Water-Meter'!AD15&lt;0,"0",'Water-Meter'!AD15)</f>
        <v>17</v>
      </c>
      <c r="U11" s="243">
        <f>IF('Water-Meter'!AG15&lt;0,"0",'Water-Meter'!AG15)</f>
        <v>0</v>
      </c>
      <c r="V11" s="243">
        <f>IF('Water-Meter'!AJ15&lt;0,"0",'Water-Meter'!AJ15)</f>
        <v>23</v>
      </c>
      <c r="W11" s="31">
        <f>'Water-Meter'!AN15</f>
        <v>182</v>
      </c>
      <c r="X11" s="473">
        <f>Total!K11</f>
        <v>4</v>
      </c>
    </row>
    <row r="12" spans="1:24" x14ac:dyDescent="0.2">
      <c r="A12" s="458" t="s">
        <v>283</v>
      </c>
      <c r="B12" s="455">
        <f t="shared" si="0"/>
        <v>11</v>
      </c>
      <c r="C12" s="460">
        <v>11</v>
      </c>
      <c r="D12" s="461">
        <v>2020</v>
      </c>
      <c r="E12" s="456">
        <f>'UTILITY REPORT 1'!I13</f>
        <v>0</v>
      </c>
      <c r="F12" s="456">
        <f>'UTILITY REPORT 1'!E13</f>
        <v>942.23</v>
      </c>
      <c r="G12" s="457">
        <f>'UTILITY REPORT 1'!F13</f>
        <v>2283</v>
      </c>
      <c r="H12" s="456">
        <f>IF('Kit report'!F14&lt;0,"0",'Kit report'!F14)</f>
        <v>204.00000000008731</v>
      </c>
      <c r="I12" s="456">
        <f>IF('Kit report'!X14&lt;0,"0",'Kit report'!X14)</f>
        <v>60.00000000003638</v>
      </c>
      <c r="J12" s="456">
        <f>IF('Utility summery'!H16&lt;0,"0",'Utility summery'!H16)</f>
        <v>44</v>
      </c>
      <c r="K12" s="457">
        <f>IF('UTILITY REPORT 1'!H13&lt;0,"0",'UTILITY REPORT 1'!H13)</f>
        <v>46</v>
      </c>
      <c r="L12" s="456">
        <f>'Water-Meter'!K16</f>
        <v>1</v>
      </c>
      <c r="M12" s="457">
        <f>'Water-Meter'!H16</f>
        <v>0</v>
      </c>
      <c r="N12" s="457">
        <f>'Water-Meter'!Q16</f>
        <v>5</v>
      </c>
      <c r="O12" s="456" t="e">
        <f>K12*E12+H12*I12+#REF!*#REF!+J12*L12</f>
        <v>#REF!</v>
      </c>
      <c r="P12" s="462">
        <f>'Water-Meter'!E16</f>
        <v>63</v>
      </c>
      <c r="Q12" s="243">
        <f>IF('Water-Meter'!U16&lt;0,"0",'Water-Meter'!U16)</f>
        <v>85</v>
      </c>
      <c r="R12" s="243">
        <f>IF('Water-Meter'!X16&lt;0,"0",'Water-Meter'!X16)</f>
        <v>0</v>
      </c>
      <c r="S12" s="243">
        <f>IF('Water-Meter'!AA16&lt;0,"0",'Water-Meter'!AA16)</f>
        <v>55</v>
      </c>
      <c r="T12" s="243">
        <f>IF('Water-Meter'!AD16&lt;0,"0",'Water-Meter'!AD16)</f>
        <v>19</v>
      </c>
      <c r="U12" s="243">
        <f>IF('Water-Meter'!AG16&lt;0,"0",'Water-Meter'!AG16)</f>
        <v>0</v>
      </c>
      <c r="V12" s="243">
        <f>IF('Water-Meter'!AJ16&lt;0,"0",'Water-Meter'!AJ16)</f>
        <v>23</v>
      </c>
      <c r="W12" s="31">
        <f>'Water-Meter'!AN16</f>
        <v>182</v>
      </c>
      <c r="X12" s="473">
        <f>Total!K12</f>
        <v>6</v>
      </c>
    </row>
    <row r="13" spans="1:24" x14ac:dyDescent="0.2">
      <c r="A13" s="458" t="s">
        <v>283</v>
      </c>
      <c r="B13" s="455">
        <f t="shared" si="0"/>
        <v>12</v>
      </c>
      <c r="C13" s="460">
        <v>11</v>
      </c>
      <c r="D13" s="461">
        <v>2020</v>
      </c>
      <c r="E13" s="456">
        <f>'UTILITY REPORT 1'!I14</f>
        <v>0</v>
      </c>
      <c r="F13" s="456">
        <f>'UTILITY REPORT 1'!E14</f>
        <v>1082.96</v>
      </c>
      <c r="G13" s="457">
        <f>'UTILITY REPORT 1'!F14</f>
        <v>2328</v>
      </c>
      <c r="H13" s="456">
        <f>IF('Kit report'!F15&lt;0,"0",'Kit report'!F15)</f>
        <v>203.99999999986903</v>
      </c>
      <c r="I13" s="456">
        <f>IF('Kit report'!X15&lt;0,"0",'Kit report'!X15)</f>
        <v>200</v>
      </c>
      <c r="J13" s="456">
        <f>IF('Utility summery'!H17&lt;0,"0",'Utility summery'!H17)</f>
        <v>43</v>
      </c>
      <c r="K13" s="457">
        <f>IF('UTILITY REPORT 1'!H14&lt;0,"0",'UTILITY REPORT 1'!H14)</f>
        <v>43</v>
      </c>
      <c r="L13" s="456">
        <f>'Water-Meter'!K17</f>
        <v>1</v>
      </c>
      <c r="M13" s="457">
        <f>'Water-Meter'!H17</f>
        <v>0</v>
      </c>
      <c r="N13" s="457">
        <f>'Water-Meter'!Q17</f>
        <v>3</v>
      </c>
      <c r="O13" s="456" t="e">
        <f>K13*E13+H13*I13+#REF!*#REF!+J13*L13</f>
        <v>#REF!</v>
      </c>
      <c r="P13" s="462">
        <f>'Water-Meter'!E17</f>
        <v>48</v>
      </c>
      <c r="Q13" s="243">
        <f>IF('Water-Meter'!U17&lt;0,"0",'Water-Meter'!U17)</f>
        <v>2</v>
      </c>
      <c r="R13" s="243">
        <f>IF('Water-Meter'!X17&lt;0,"0",'Water-Meter'!X17)</f>
        <v>0</v>
      </c>
      <c r="S13" s="243">
        <f>IF('Water-Meter'!AA17&lt;0,"0",'Water-Meter'!AA17)</f>
        <v>55</v>
      </c>
      <c r="T13" s="243">
        <f>IF('Water-Meter'!AD17&lt;0,"0",'Water-Meter'!AD17)</f>
        <v>18</v>
      </c>
      <c r="U13" s="243">
        <f>IF('Water-Meter'!AG17&lt;0,"0",'Water-Meter'!AG17)</f>
        <v>0</v>
      </c>
      <c r="V13" s="243">
        <f>IF('Water-Meter'!AJ17&lt;0,"0",'Water-Meter'!AJ17)</f>
        <v>23</v>
      </c>
      <c r="W13" s="31">
        <f>'Water-Meter'!AN17</f>
        <v>98</v>
      </c>
      <c r="X13" s="473">
        <f>Total!K13</f>
        <v>5</v>
      </c>
    </row>
    <row r="14" spans="1:24" x14ac:dyDescent="0.2">
      <c r="A14" s="458" t="s">
        <v>283</v>
      </c>
      <c r="B14" s="455">
        <f t="shared" si="0"/>
        <v>13</v>
      </c>
      <c r="C14" s="460">
        <v>11</v>
      </c>
      <c r="D14" s="461">
        <v>2020</v>
      </c>
      <c r="E14" s="456">
        <f>'UTILITY REPORT 1'!I15</f>
        <v>0</v>
      </c>
      <c r="F14" s="456">
        <f>'UTILITY REPORT 1'!E15</f>
        <v>959.29</v>
      </c>
      <c r="G14" s="457">
        <f>'UTILITY REPORT 1'!F15</f>
        <v>2362</v>
      </c>
      <c r="H14" s="456">
        <f>IF('Kit report'!F16&lt;0,"0",'Kit report'!F16)</f>
        <v>216.00000000013097</v>
      </c>
      <c r="I14" s="456">
        <f>IF('Kit report'!X16&lt;0,"0",'Kit report'!X16)</f>
        <v>79.99999999992724</v>
      </c>
      <c r="J14" s="456">
        <f>IF('Utility summery'!H18&lt;0,"0",'Utility summery'!H18)</f>
        <v>41</v>
      </c>
      <c r="K14" s="457">
        <f>IF('UTILITY REPORT 1'!H15&lt;0,"0",'UTILITY REPORT 1'!H15)</f>
        <v>42</v>
      </c>
      <c r="L14" s="456">
        <f>'Water-Meter'!K18</f>
        <v>1</v>
      </c>
      <c r="M14" s="457">
        <f>'Water-Meter'!H18</f>
        <v>0</v>
      </c>
      <c r="N14" s="457">
        <f>'Water-Meter'!Q18</f>
        <v>4</v>
      </c>
      <c r="O14" s="456" t="e">
        <f>K14*E14+H14*I14+#REF!*#REF!+J14*L14</f>
        <v>#REF!</v>
      </c>
      <c r="P14" s="462">
        <f>'Water-Meter'!E18</f>
        <v>62</v>
      </c>
      <c r="Q14" s="243">
        <f>IF('Water-Meter'!U18&lt;0,"0",'Water-Meter'!U18)</f>
        <v>0</v>
      </c>
      <c r="R14" s="243">
        <f>IF('Water-Meter'!X18&lt;0,"0",'Water-Meter'!X18)</f>
        <v>0</v>
      </c>
      <c r="S14" s="243">
        <f>IF('Water-Meter'!AA18&lt;0,"0",'Water-Meter'!AA18)</f>
        <v>57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98</v>
      </c>
      <c r="X14" s="473">
        <f>Total!K14</f>
        <v>7</v>
      </c>
    </row>
    <row r="15" spans="1:24" x14ac:dyDescent="0.2">
      <c r="A15" s="458" t="s">
        <v>283</v>
      </c>
      <c r="B15" s="455">
        <f t="shared" si="0"/>
        <v>14</v>
      </c>
      <c r="C15" s="460">
        <v>11</v>
      </c>
      <c r="D15" s="461">
        <v>2020</v>
      </c>
      <c r="E15" s="456">
        <f>'UTILITY REPORT 1'!I16</f>
        <v>0</v>
      </c>
      <c r="F15" s="456">
        <f>'UTILITY REPORT 1'!E16</f>
        <v>962.89</v>
      </c>
      <c r="G15" s="457">
        <f>'UTILITY REPORT 1'!F16</f>
        <v>2380</v>
      </c>
      <c r="H15" s="456">
        <f>IF('Kit report'!F17&lt;0,"0",'Kit report'!F17)</f>
        <v>215.99999999991269</v>
      </c>
      <c r="I15" s="456">
        <f>IF('Kit report'!X17&lt;0,"0",'Kit report'!X17)</f>
        <v>139.99999999996362</v>
      </c>
      <c r="J15" s="456">
        <f>IF('Utility summery'!H19&lt;0,"0",'Utility summery'!H19)</f>
        <v>45</v>
      </c>
      <c r="K15" s="457">
        <f>IF('UTILITY REPORT 1'!H16&lt;0,"0",'UTILITY REPORT 1'!H16)</f>
        <v>42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52</v>
      </c>
      <c r="Q15" s="243">
        <f>IF('Water-Meter'!U19&lt;0,"0",'Water-Meter'!U19)</f>
        <v>0</v>
      </c>
      <c r="R15" s="243">
        <f>IF('Water-Meter'!X19&lt;0,"0",'Water-Meter'!X19)</f>
        <v>0</v>
      </c>
      <c r="S15" s="243">
        <f>IF('Water-Meter'!AA19&lt;0,"0",'Water-Meter'!AA19)</f>
        <v>55</v>
      </c>
      <c r="T15" s="243">
        <f>IF('Water-Meter'!AD19&lt;0,"0",'Water-Meter'!AD19)</f>
        <v>19</v>
      </c>
      <c r="U15" s="243">
        <f>IF('Water-Meter'!AG19&lt;0,"0",'Water-Meter'!AG19)</f>
        <v>0</v>
      </c>
      <c r="V15" s="243">
        <f>IF('Water-Meter'!AJ19&lt;0,"0",'Water-Meter'!AJ19)</f>
        <v>22</v>
      </c>
      <c r="W15" s="31">
        <f>'Water-Meter'!AN19</f>
        <v>96</v>
      </c>
      <c r="X15" s="473">
        <f>Total!K15</f>
        <v>15</v>
      </c>
    </row>
    <row r="16" spans="1:24" x14ac:dyDescent="0.2">
      <c r="A16" s="458" t="s">
        <v>283</v>
      </c>
      <c r="B16" s="455">
        <f t="shared" si="0"/>
        <v>15</v>
      </c>
      <c r="C16" s="460">
        <v>11</v>
      </c>
      <c r="D16" s="461">
        <v>2020</v>
      </c>
      <c r="E16" s="456">
        <f>'UTILITY REPORT 1'!I17</f>
        <v>0</v>
      </c>
      <c r="F16" s="456">
        <f>'UTILITY REPORT 1'!E17</f>
        <v>1055.07</v>
      </c>
      <c r="G16" s="457">
        <f>'UTILITY REPORT 1'!F17</f>
        <v>2337</v>
      </c>
      <c r="H16" s="456">
        <f>IF('Kit report'!F18&lt;0,"0",'Kit report'!F18)</f>
        <v>227.99999999995634</v>
      </c>
      <c r="I16" s="456">
        <f>IF('Kit report'!X18&lt;0,"0",'Kit report'!X18)</f>
        <v>100</v>
      </c>
      <c r="J16" s="456">
        <f>IF('Utility summery'!H20&lt;0,"0",'Utility summery'!H20)</f>
        <v>43</v>
      </c>
      <c r="K16" s="457">
        <f>IF('UTILITY REPORT 1'!H17&lt;0,"0",'UTILITY REPORT 1'!H17)</f>
        <v>39</v>
      </c>
      <c r="L16" s="456">
        <f>'Water-Meter'!K20</f>
        <v>1</v>
      </c>
      <c r="M16" s="457">
        <f>'Water-Meter'!H20</f>
        <v>0</v>
      </c>
      <c r="N16" s="457">
        <f>'Water-Meter'!Q20</f>
        <v>4</v>
      </c>
      <c r="O16" s="456" t="e">
        <f>K16*E16+H16*I16+#REF!*#REF!+J16*L16</f>
        <v>#REF!</v>
      </c>
      <c r="P16" s="462">
        <f>'Water-Meter'!E20</f>
        <v>78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55</v>
      </c>
      <c r="T16" s="243">
        <f>IF('Water-Meter'!AD20&lt;0,"0",'Water-Meter'!AD20)</f>
        <v>18</v>
      </c>
      <c r="U16" s="243">
        <f>IF('Water-Meter'!AG20&lt;0,"0",'Water-Meter'!AG20)</f>
        <v>0</v>
      </c>
      <c r="V16" s="243">
        <f>IF('Water-Meter'!AJ20&lt;0,"0",'Water-Meter'!AJ20)</f>
        <v>22</v>
      </c>
      <c r="W16" s="31">
        <f>'Water-Meter'!AN20</f>
        <v>95</v>
      </c>
      <c r="X16" s="473">
        <f>Total!K16</f>
        <v>13</v>
      </c>
    </row>
    <row r="17" spans="1:24" x14ac:dyDescent="0.2">
      <c r="A17" s="458" t="s">
        <v>283</v>
      </c>
      <c r="B17" s="455">
        <f t="shared" si="0"/>
        <v>16</v>
      </c>
      <c r="C17" s="460">
        <v>11</v>
      </c>
      <c r="D17" s="461">
        <v>2020</v>
      </c>
      <c r="E17" s="456">
        <f>'UTILITY REPORT 1'!I18</f>
        <v>0</v>
      </c>
      <c r="F17" s="456">
        <f>'UTILITY REPORT 1'!E18</f>
        <v>1129.6500000000001</v>
      </c>
      <c r="G17" s="457">
        <f>'UTILITY REPORT 1'!F18</f>
        <v>2468</v>
      </c>
      <c r="H17" s="456">
        <f>IF('Kit report'!F19&lt;0,"0",'Kit report'!F19)</f>
        <v>264.00000000008731</v>
      </c>
      <c r="I17" s="456">
        <f>IF('Kit report'!X19&lt;0,"0",'Kit report'!X19)</f>
        <v>180.00000000010914</v>
      </c>
      <c r="J17" s="456">
        <f>IF('Utility summery'!H21&lt;0,"0",'Utility summery'!H21)</f>
        <v>52</v>
      </c>
      <c r="K17" s="457">
        <f>IF('UTILITY REPORT 1'!H18&lt;0,"0",'UTILITY REPORT 1'!H18)</f>
        <v>37</v>
      </c>
      <c r="L17" s="456">
        <f>'Water-Meter'!K21</f>
        <v>1</v>
      </c>
      <c r="M17" s="457">
        <f>'Water-Meter'!H21</f>
        <v>0</v>
      </c>
      <c r="N17" s="457">
        <f>'Water-Meter'!Q21</f>
        <v>1</v>
      </c>
      <c r="O17" s="456" t="e">
        <f>K17*E17+H17*I17+#REF!*#REF!+J17*L17</f>
        <v>#REF!</v>
      </c>
      <c r="P17" s="462">
        <f>'Water-Meter'!E21</f>
        <v>52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52</v>
      </c>
      <c r="T17" s="243">
        <f>IF('Water-Meter'!AD21&lt;0,"0",'Water-Meter'!AD21)</f>
        <v>19</v>
      </c>
      <c r="U17" s="243">
        <f>IF('Water-Meter'!AG21&lt;0,"0",'Water-Meter'!AG21)</f>
        <v>0</v>
      </c>
      <c r="V17" s="243">
        <f>IF('Water-Meter'!AJ21&lt;0,"0",'Water-Meter'!AJ21)</f>
        <v>24</v>
      </c>
      <c r="W17" s="31">
        <f>'Water-Meter'!AN21</f>
        <v>95</v>
      </c>
      <c r="X17" s="473">
        <f>Total!K17</f>
        <v>12</v>
      </c>
    </row>
    <row r="18" spans="1:24" x14ac:dyDescent="0.2">
      <c r="A18" s="458" t="s">
        <v>283</v>
      </c>
      <c r="B18" s="455">
        <f t="shared" si="0"/>
        <v>17</v>
      </c>
      <c r="C18" s="460">
        <v>11</v>
      </c>
      <c r="D18" s="461">
        <v>2020</v>
      </c>
      <c r="E18" s="456">
        <f>'UTILITY REPORT 1'!I19</f>
        <v>0</v>
      </c>
      <c r="F18" s="456">
        <f>'UTILITY REPORT 1'!E19</f>
        <v>928.98</v>
      </c>
      <c r="G18" s="457">
        <f>'UTILITY REPORT 1'!F19</f>
        <v>2266</v>
      </c>
      <c r="H18" s="456">
        <f>IF('Kit report'!F20&lt;0,"0",'Kit report'!F20)</f>
        <v>240</v>
      </c>
      <c r="I18" s="456">
        <f>IF('Kit report'!X20&lt;0,"0",'Kit report'!X20)</f>
        <v>79.99999999992724</v>
      </c>
      <c r="J18" s="456">
        <f>IF('Utility summery'!H22&lt;0,"0",'Utility summery'!H22)</f>
        <v>10</v>
      </c>
      <c r="K18" s="457">
        <f>IF('UTILITY REPORT 1'!H19&lt;0,"0",'UTILITY REPORT 1'!H19)</f>
        <v>32</v>
      </c>
      <c r="L18" s="456">
        <f>'Water-Meter'!K22</f>
        <v>1</v>
      </c>
      <c r="M18" s="457">
        <f>'Water-Meter'!H22</f>
        <v>0</v>
      </c>
      <c r="N18" s="457">
        <f>'Water-Meter'!Q22</f>
        <v>2</v>
      </c>
      <c r="O18" s="456" t="e">
        <f>K18*E18+H18*I18+#REF!*#REF!+J18*L18</f>
        <v>#REF!</v>
      </c>
      <c r="P18" s="462">
        <f>'Water-Meter'!E22</f>
        <v>53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11</v>
      </c>
      <c r="T18" s="243">
        <f>IF('Water-Meter'!AD22&lt;0,"0",'Water-Meter'!AD22)</f>
        <v>19</v>
      </c>
      <c r="U18" s="243">
        <f>IF('Water-Meter'!AG22&lt;0,"0",'Water-Meter'!AG22)</f>
        <v>0</v>
      </c>
      <c r="V18" s="243">
        <f>IF('Water-Meter'!AJ22&lt;0,"0",'Water-Meter'!AJ22)</f>
        <v>23</v>
      </c>
      <c r="W18" s="31">
        <f>'Water-Meter'!AN22</f>
        <v>53</v>
      </c>
      <c r="X18" s="473">
        <f>Total!K18</f>
        <v>0</v>
      </c>
    </row>
    <row r="19" spans="1:24" x14ac:dyDescent="0.2">
      <c r="A19" s="458" t="s">
        <v>283</v>
      </c>
      <c r="B19" s="455">
        <f t="shared" si="0"/>
        <v>18</v>
      </c>
      <c r="C19" s="460">
        <v>11</v>
      </c>
      <c r="D19" s="461">
        <v>2020</v>
      </c>
      <c r="E19" s="456">
        <f>'UTILITY REPORT 1'!I20</f>
        <v>0</v>
      </c>
      <c r="F19" s="456">
        <f>'UTILITY REPORT 1'!E20</f>
        <v>997.24</v>
      </c>
      <c r="G19" s="457">
        <f>'UTILITY REPORT 1'!F20</f>
        <v>2398</v>
      </c>
      <c r="H19" s="456">
        <f>IF('Kit report'!F21&lt;0,"0",'Kit report'!F21)</f>
        <v>240</v>
      </c>
      <c r="I19" s="456">
        <f>IF('Kit report'!X21&lt;0,"0",'Kit report'!X21)</f>
        <v>220.00000000007276</v>
      </c>
      <c r="J19" s="456">
        <f>IF('Utility summery'!H23&lt;0,"0",'Utility summery'!H23)</f>
        <v>13</v>
      </c>
      <c r="K19" s="457">
        <f>IF('UTILITY REPORT 1'!H20&lt;0,"0",'UTILITY REPORT 1'!H20)</f>
        <v>28</v>
      </c>
      <c r="L19" s="456">
        <f>'Water-Meter'!K23</f>
        <v>1</v>
      </c>
      <c r="M19" s="457">
        <f>'Water-Meter'!H23</f>
        <v>0</v>
      </c>
      <c r="N19" s="457">
        <f>'Water-Meter'!Q23</f>
        <v>3</v>
      </c>
      <c r="O19" s="456" t="e">
        <f>K19*E19+H19*I19+#REF!*#REF!+J19*L19</f>
        <v>#REF!</v>
      </c>
      <c r="P19" s="462">
        <f>'Water-Meter'!E23</f>
        <v>51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38</v>
      </c>
      <c r="T19" s="243">
        <f>IF('Water-Meter'!AD23&lt;0,"0",'Water-Meter'!AD23)</f>
        <v>17</v>
      </c>
      <c r="U19" s="243">
        <f>IF('Water-Meter'!AG23&lt;0,"0",'Water-Meter'!AG23)</f>
        <v>0</v>
      </c>
      <c r="V19" s="243">
        <f>IF('Water-Meter'!AJ23&lt;0,"0",'Water-Meter'!AJ23)</f>
        <v>24</v>
      </c>
      <c r="W19" s="31">
        <f>'Water-Meter'!AN23</f>
        <v>79</v>
      </c>
      <c r="X19" s="473">
        <f>Total!K19</f>
        <v>0</v>
      </c>
    </row>
    <row r="20" spans="1:24" x14ac:dyDescent="0.2">
      <c r="A20" s="458" t="s">
        <v>283</v>
      </c>
      <c r="B20" s="455">
        <f t="shared" si="0"/>
        <v>19</v>
      </c>
      <c r="C20" s="460">
        <v>11</v>
      </c>
      <c r="D20" s="461">
        <v>2020</v>
      </c>
      <c r="E20" s="456">
        <f>'UTILITY REPORT 1'!I21</f>
        <v>0</v>
      </c>
      <c r="F20" s="456">
        <f>'UTILITY REPORT 1'!E21</f>
        <v>1041.67</v>
      </c>
      <c r="G20" s="457">
        <f>'UTILITY REPORT 1'!F21</f>
        <v>2587</v>
      </c>
      <c r="H20" s="456">
        <f>IF('Kit report'!F22&lt;0,"0",'Kit report'!F22)</f>
        <v>252.00000000004366</v>
      </c>
      <c r="I20" s="456">
        <f>IF('Kit report'!X22&lt;0,"0",'Kit report'!X22)</f>
        <v>119.99999999989086</v>
      </c>
      <c r="J20" s="456">
        <f>IF('Utility summery'!H24&lt;0,"0",'Utility summery'!H24)</f>
        <v>35</v>
      </c>
      <c r="K20" s="457">
        <f>IF('UTILITY REPORT 1'!H21&lt;0,"0",'UTILITY REPORT 1'!H21)</f>
        <v>25</v>
      </c>
      <c r="L20" s="456">
        <f>'Water-Meter'!K24</f>
        <v>2</v>
      </c>
      <c r="M20" s="457">
        <f>'Water-Meter'!H24</f>
        <v>0</v>
      </c>
      <c r="N20" s="457">
        <f>'Water-Meter'!Q24</f>
        <v>5</v>
      </c>
      <c r="O20" s="456" t="e">
        <f>K20*E20+H20*I20+#REF!*#REF!+J20*L20</f>
        <v>#REF!</v>
      </c>
      <c r="P20" s="462">
        <f>'Water-Meter'!E24</f>
        <v>127</v>
      </c>
      <c r="Q20" s="243">
        <f>IF('Water-Meter'!U24&lt;0,"0",'Water-Meter'!U24)</f>
        <v>55</v>
      </c>
      <c r="R20" s="243">
        <f>IF('Water-Meter'!X24&lt;0,"0",'Water-Meter'!X24)</f>
        <v>0</v>
      </c>
      <c r="S20" s="243">
        <f>IF('Water-Meter'!AA24&lt;0,"0",'Water-Meter'!AA24)</f>
        <v>65</v>
      </c>
      <c r="T20" s="243">
        <f>IF('Water-Meter'!AD24&lt;0,"0",'Water-Meter'!AD24)</f>
        <v>17</v>
      </c>
      <c r="U20" s="243">
        <f>IF('Water-Meter'!AG24&lt;0,"0",'Water-Meter'!AG24)</f>
        <v>0</v>
      </c>
      <c r="V20" s="243">
        <f>IF('Water-Meter'!AJ24&lt;0,"0",'Water-Meter'!AJ24)</f>
        <v>24</v>
      </c>
      <c r="W20" s="31">
        <f>'Water-Meter'!AN24</f>
        <v>161</v>
      </c>
      <c r="X20" s="473">
        <f>Total!K20</f>
        <v>0</v>
      </c>
    </row>
    <row r="21" spans="1:24" x14ac:dyDescent="0.2">
      <c r="A21" s="458" t="s">
        <v>283</v>
      </c>
      <c r="B21" s="455">
        <f t="shared" si="0"/>
        <v>20</v>
      </c>
      <c r="C21" s="460">
        <v>11</v>
      </c>
      <c r="D21" s="461">
        <v>2020</v>
      </c>
      <c r="E21" s="456">
        <f>'UTILITY REPORT 1'!I22</f>
        <v>0</v>
      </c>
      <c r="F21" s="456">
        <f>'UTILITY REPORT 1'!E22</f>
        <v>1005.0600000000001</v>
      </c>
      <c r="G21" s="457">
        <f>'UTILITY REPORT 1'!F22</f>
        <v>2592</v>
      </c>
      <c r="H21" s="456">
        <f>IF('Kit report'!F23&lt;0,"0",'Kit report'!F23)</f>
        <v>240</v>
      </c>
      <c r="I21" s="456">
        <f>IF('Kit report'!X23&lt;0,"0",'Kit report'!X23)</f>
        <v>80.000000000109139</v>
      </c>
      <c r="J21" s="456">
        <f>IF('Utility summery'!H25&lt;0,"0",'Utility summery'!H25)</f>
        <v>37</v>
      </c>
      <c r="K21" s="457">
        <f>IF('UTILITY REPORT 1'!H22&lt;0,"0",'UTILITY REPORT 1'!H22)</f>
        <v>25</v>
      </c>
      <c r="L21" s="456">
        <f>'Water-Meter'!K25</f>
        <v>1</v>
      </c>
      <c r="M21" s="457">
        <f>'Water-Meter'!H25</f>
        <v>0</v>
      </c>
      <c r="N21" s="457">
        <f>'Water-Meter'!Q25</f>
        <v>1</v>
      </c>
      <c r="O21" s="456" t="e">
        <f>K21*E21+H21*I21+#REF!*#REF!+J21*L21</f>
        <v>#REF!</v>
      </c>
      <c r="P21" s="462">
        <f>'Water-Meter'!E25</f>
        <v>46</v>
      </c>
      <c r="Q21" s="243">
        <f>IF('Water-Meter'!U25&lt;0,"0",'Water-Meter'!U25)</f>
        <v>86</v>
      </c>
      <c r="R21" s="243">
        <f>IF('Water-Meter'!X25&lt;0,"0",'Water-Meter'!X25)</f>
        <v>0</v>
      </c>
      <c r="S21" s="243">
        <f>IF('Water-Meter'!AA25&lt;0,"0",'Water-Meter'!AA25)</f>
        <v>49</v>
      </c>
      <c r="T21" s="243">
        <f>IF('Water-Meter'!AD25&lt;0,"0",'Water-Meter'!AD25)</f>
        <v>17</v>
      </c>
      <c r="U21" s="243">
        <f>IF('Water-Meter'!AG25&lt;0,"0",'Water-Meter'!AG25)</f>
        <v>0</v>
      </c>
      <c r="V21" s="243">
        <f>IF('Water-Meter'!AJ25&lt;0,"0",'Water-Meter'!AJ25)</f>
        <v>25</v>
      </c>
      <c r="W21" s="31">
        <f>'Water-Meter'!AN25</f>
        <v>177</v>
      </c>
      <c r="X21" s="473">
        <f>Total!K21</f>
        <v>0</v>
      </c>
    </row>
    <row r="22" spans="1:24" x14ac:dyDescent="0.2">
      <c r="A22" s="458" t="s">
        <v>283</v>
      </c>
      <c r="B22" s="455">
        <f t="shared" si="0"/>
        <v>21</v>
      </c>
      <c r="C22" s="460">
        <v>11</v>
      </c>
      <c r="D22" s="461">
        <v>2020</v>
      </c>
      <c r="E22" s="456">
        <f>'UTILITY REPORT 1'!I23</f>
        <v>0</v>
      </c>
      <c r="F22" s="456">
        <f>'UTILITY REPORT 1'!E23</f>
        <v>1105.44</v>
      </c>
      <c r="G22" s="457">
        <f>'UTILITY REPORT 1'!F23</f>
        <v>2673</v>
      </c>
      <c r="H22" s="456">
        <f>IF('Kit report'!F24&lt;0,"0",'Kit report'!F24)</f>
        <v>252.00000000004366</v>
      </c>
      <c r="I22" s="456">
        <f>IF('Kit report'!X24&lt;0,"0",'Kit report'!X24)</f>
        <v>200</v>
      </c>
      <c r="J22" s="456">
        <f>IF('Utility summery'!H26&lt;0,"0",'Utility summery'!H26)</f>
        <v>35</v>
      </c>
      <c r="K22" s="457">
        <f>IF('UTILITY REPORT 1'!H23&lt;0,"0",'UTILITY REPORT 1'!H23)</f>
        <v>23</v>
      </c>
      <c r="L22" s="456">
        <f>'Water-Meter'!K26</f>
        <v>1</v>
      </c>
      <c r="M22" s="457">
        <f>'Water-Meter'!H26</f>
        <v>0</v>
      </c>
      <c r="N22" s="457">
        <f>'Water-Meter'!Q26</f>
        <v>4</v>
      </c>
      <c r="O22" s="456" t="e">
        <f>K22*E22+H22*I22+#REF!*#REF!+J22*L22</f>
        <v>#REF!</v>
      </c>
      <c r="P22" s="462">
        <f>'Water-Meter'!E26</f>
        <v>47</v>
      </c>
      <c r="Q22" s="243">
        <f>IF('Water-Meter'!U26&lt;0,"0",'Water-Meter'!U26)</f>
        <v>77</v>
      </c>
      <c r="R22" s="243">
        <f>IF('Water-Meter'!X26&lt;0,"0",'Water-Meter'!X26)</f>
        <v>0</v>
      </c>
      <c r="S22" s="243">
        <f>IF('Water-Meter'!AA26&lt;0,"0",'Water-Meter'!AA26)</f>
        <v>50</v>
      </c>
      <c r="T22" s="243">
        <f>IF('Water-Meter'!AD26&lt;0,"0",'Water-Meter'!AD26)</f>
        <v>18</v>
      </c>
      <c r="U22" s="243">
        <f>IF('Water-Meter'!AG26&lt;0,"0",'Water-Meter'!AG26)</f>
        <v>0</v>
      </c>
      <c r="V22" s="243">
        <f>IF('Water-Meter'!AJ26&lt;0,"0",'Water-Meter'!AJ26)</f>
        <v>24</v>
      </c>
      <c r="W22" s="31">
        <f>'Water-Meter'!AN26</f>
        <v>169</v>
      </c>
      <c r="X22" s="473">
        <f>Total!K22</f>
        <v>0</v>
      </c>
    </row>
    <row r="23" spans="1:24" x14ac:dyDescent="0.2">
      <c r="A23" s="458" t="s">
        <v>283</v>
      </c>
      <c r="B23" s="455">
        <f t="shared" si="0"/>
        <v>22</v>
      </c>
      <c r="C23" s="460">
        <v>11</v>
      </c>
      <c r="D23" s="461">
        <v>2020</v>
      </c>
      <c r="E23" s="456">
        <f>'UTILITY REPORT 1'!I24</f>
        <v>0</v>
      </c>
      <c r="F23" s="456">
        <f>'UTILITY REPORT 1'!E24</f>
        <v>1044.04</v>
      </c>
      <c r="G23" s="457">
        <f>'UTILITY REPORT 1'!F24</f>
        <v>2585</v>
      </c>
      <c r="H23" s="456">
        <f>IF('Kit report'!F25&lt;0,"0",'Kit report'!F25)</f>
        <v>240</v>
      </c>
      <c r="I23" s="456">
        <f>IF('Kit report'!X25&lt;0,"0",'Kit report'!X25)</f>
        <v>200</v>
      </c>
      <c r="J23" s="456">
        <f>IF('Utility summery'!H27&lt;0,"0",'Utility summery'!H27)</f>
        <v>35</v>
      </c>
      <c r="K23" s="457">
        <f>IF('UTILITY REPORT 1'!H24&lt;0,"0",'UTILITY REPORT 1'!H24)</f>
        <v>0</v>
      </c>
      <c r="L23" s="456">
        <f>'Water-Meter'!K27</f>
        <v>1</v>
      </c>
      <c r="M23" s="457">
        <f>'Water-Meter'!H27</f>
        <v>0</v>
      </c>
      <c r="N23" s="457">
        <f>'Water-Meter'!Q27</f>
        <v>6</v>
      </c>
      <c r="O23" s="456" t="e">
        <f>K23*E23+H23*I23+#REF!*#REF!+J23*L23</f>
        <v>#REF!</v>
      </c>
      <c r="P23" s="462">
        <f>'Water-Meter'!E27</f>
        <v>51</v>
      </c>
      <c r="Q23" s="243">
        <f>IF('Water-Meter'!U27&lt;0,"0",'Water-Meter'!U27)</f>
        <v>89</v>
      </c>
      <c r="R23" s="243">
        <f>IF('Water-Meter'!X27&lt;0,"0",'Water-Meter'!X27)</f>
        <v>0</v>
      </c>
      <c r="S23" s="243">
        <f>IF('Water-Meter'!AA27&lt;0,"0",'Water-Meter'!AA27)</f>
        <v>68</v>
      </c>
      <c r="T23" s="243">
        <f>IF('Water-Meter'!AD27&lt;0,"0",'Water-Meter'!AD27)</f>
        <v>19</v>
      </c>
      <c r="U23" s="243">
        <f>IF('Water-Meter'!AG27&lt;0,"0",'Water-Meter'!AG27)</f>
        <v>0</v>
      </c>
      <c r="V23" s="243">
        <f>IF('Water-Meter'!AJ27&lt;0,"0",'Water-Meter'!AJ27)</f>
        <v>20</v>
      </c>
      <c r="W23" s="31">
        <f>'Water-Meter'!AN27</f>
        <v>196</v>
      </c>
      <c r="X23" s="473">
        <f>Total!K23</f>
        <v>0</v>
      </c>
    </row>
    <row r="24" spans="1:24" x14ac:dyDescent="0.2">
      <c r="A24" s="458" t="s">
        <v>283</v>
      </c>
      <c r="B24" s="455">
        <f t="shared" si="0"/>
        <v>23</v>
      </c>
      <c r="C24" s="460">
        <v>11</v>
      </c>
      <c r="D24" s="461">
        <v>2020</v>
      </c>
      <c r="E24" s="456">
        <f>'UTILITY REPORT 1'!I25</f>
        <v>0</v>
      </c>
      <c r="F24" s="456">
        <f>'UTILITY REPORT 1'!E25</f>
        <v>1074.8399999999999</v>
      </c>
      <c r="G24" s="457">
        <f>'UTILITY REPORT 1'!F25</f>
        <v>2587</v>
      </c>
      <c r="H24" s="456">
        <f>IF('Kit report'!F26&lt;0,"0",'Kit report'!F26)</f>
        <v>227.99999999995634</v>
      </c>
      <c r="I24" s="456">
        <f>IF('Kit report'!X26&lt;0,"0",'Kit report'!X26)</f>
        <v>200</v>
      </c>
      <c r="J24" s="456">
        <f>IF('Utility summery'!H28&lt;0,"0",'Utility summery'!H28)</f>
        <v>36</v>
      </c>
      <c r="K24" s="457">
        <f>IF('UTILITY REPORT 1'!H25&lt;0,"0",'UTILITY REPORT 1'!H25)</f>
        <v>24</v>
      </c>
      <c r="L24" s="456">
        <f>'Water-Meter'!K28</f>
        <v>1</v>
      </c>
      <c r="M24" s="457">
        <f>'Water-Meter'!H28</f>
        <v>0</v>
      </c>
      <c r="N24" s="457">
        <f>'Water-Meter'!Q28</f>
        <v>4</v>
      </c>
      <c r="O24" s="456" t="e">
        <f>K24*E24+H24*I24+#REF!*#REF!+J24*L24</f>
        <v>#REF!</v>
      </c>
      <c r="P24" s="462">
        <f>'Water-Meter'!E28</f>
        <v>61</v>
      </c>
      <c r="Q24" s="243">
        <f>IF('Water-Meter'!U28&lt;0,"0",'Water-Meter'!U28)</f>
        <v>24</v>
      </c>
      <c r="R24" s="243">
        <f>IF('Water-Meter'!X28&lt;0,"0",'Water-Meter'!X28)</f>
        <v>0</v>
      </c>
      <c r="S24" s="243">
        <f>IF('Water-Meter'!AA28&lt;0,"0",'Water-Meter'!AA28)</f>
        <v>55</v>
      </c>
      <c r="T24" s="243">
        <f>IF('Water-Meter'!AD28&lt;0,"0",'Water-Meter'!AD28)</f>
        <v>18</v>
      </c>
      <c r="U24" s="243">
        <f>IF('Water-Meter'!AG28&lt;0,"0",'Water-Meter'!AG28)</f>
        <v>0</v>
      </c>
      <c r="V24" s="243">
        <f>IF('Water-Meter'!AJ28&lt;0,"0",'Water-Meter'!AJ28)</f>
        <v>23</v>
      </c>
      <c r="W24" s="31">
        <f>'Water-Meter'!AN28</f>
        <v>120</v>
      </c>
      <c r="X24" s="473">
        <f>Total!K24</f>
        <v>0</v>
      </c>
    </row>
    <row r="25" spans="1:24" x14ac:dyDescent="0.2">
      <c r="A25" s="458" t="s">
        <v>283</v>
      </c>
      <c r="B25" s="455">
        <f t="shared" si="0"/>
        <v>24</v>
      </c>
      <c r="C25" s="460">
        <v>11</v>
      </c>
      <c r="D25" s="461">
        <v>2020</v>
      </c>
      <c r="E25" s="456">
        <f>'UTILITY REPORT 1'!I26</f>
        <v>0</v>
      </c>
      <c r="F25" s="456">
        <f>'UTILITY REPORT 1'!E26</f>
        <v>1019.27</v>
      </c>
      <c r="G25" s="457">
        <f>'UTILITY REPORT 1'!F26</f>
        <v>2376</v>
      </c>
      <c r="H25" s="456">
        <f>IF('Kit report'!F27&lt;0,"0",'Kit report'!F27)</f>
        <v>240</v>
      </c>
      <c r="I25" s="456">
        <f>IF('Kit report'!X27&lt;0,"0",'Kit report'!X27)</f>
        <v>79.99999999992724</v>
      </c>
      <c r="J25" s="456">
        <f>IF('Utility summery'!H29&lt;0,"0",'Utility summery'!H29)</f>
        <v>35</v>
      </c>
      <c r="K25" s="457">
        <f>IF('UTILITY REPORT 1'!H26&lt;0,"0",'UTILITY REPORT 1'!H26)</f>
        <v>35</v>
      </c>
      <c r="L25" s="456">
        <f>'Water-Meter'!K29</f>
        <v>1</v>
      </c>
      <c r="M25" s="457">
        <f>'Water-Meter'!H29</f>
        <v>0</v>
      </c>
      <c r="N25" s="457">
        <f>'Water-Meter'!Q29</f>
        <v>4</v>
      </c>
      <c r="O25" s="456" t="e">
        <f>K25*E25+H25*I25+#REF!*#REF!+J25*L25</f>
        <v>#REF!</v>
      </c>
      <c r="P25" s="462">
        <f>'Water-Meter'!E29</f>
        <v>49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55</v>
      </c>
      <c r="T25" s="243">
        <f>IF('Water-Meter'!AD29&lt;0,"0",'Water-Meter'!AD29)</f>
        <v>19</v>
      </c>
      <c r="U25" s="243">
        <f>IF('Water-Meter'!AG29&lt;0,"0",'Water-Meter'!AG29)</f>
        <v>0</v>
      </c>
      <c r="V25" s="243">
        <f>IF('Water-Meter'!AJ29&lt;0,"0",'Water-Meter'!AJ29)</f>
        <v>24</v>
      </c>
      <c r="W25" s="31">
        <f>'Water-Meter'!AN29</f>
        <v>98</v>
      </c>
      <c r="X25" s="473">
        <f>Total!K25</f>
        <v>0</v>
      </c>
    </row>
    <row r="26" spans="1:24" x14ac:dyDescent="0.2">
      <c r="A26" s="458" t="s">
        <v>283</v>
      </c>
      <c r="B26" s="455">
        <f>B25+1</f>
        <v>25</v>
      </c>
      <c r="C26" s="460">
        <v>11</v>
      </c>
      <c r="D26" s="461">
        <v>2020</v>
      </c>
      <c r="E26" s="456">
        <f>'UTILITY REPORT 1'!I27</f>
        <v>0</v>
      </c>
      <c r="F26" s="456">
        <f>'UTILITY REPORT 1'!E27</f>
        <v>979.02</v>
      </c>
      <c r="G26" s="457">
        <f>'UTILITY REPORT 1'!F27</f>
        <v>2258</v>
      </c>
      <c r="H26" s="456">
        <f>IF('Kit report'!F28&lt;0,"0",'Kit report'!F28)</f>
        <v>240</v>
      </c>
      <c r="I26" s="456">
        <f>IF('Kit report'!X28&lt;0,"0",'Kit report'!X28)</f>
        <v>39.99999999996362</v>
      </c>
      <c r="J26" s="456">
        <f>IF('Utility summery'!H30&lt;0,"0",'Utility summery'!H30)</f>
        <v>33</v>
      </c>
      <c r="K26" s="457">
        <f>IF('UTILITY REPORT 1'!H27&lt;0,"0",'UTILITY REPORT 1'!H27)</f>
        <v>39</v>
      </c>
      <c r="L26" s="456">
        <f>'Water-Meter'!K30</f>
        <v>1</v>
      </c>
      <c r="M26" s="457">
        <f>'Water-Meter'!H30</f>
        <v>0</v>
      </c>
      <c r="N26" s="457">
        <f>'Water-Meter'!Q30</f>
        <v>3</v>
      </c>
      <c r="O26" s="456" t="e">
        <f>K26*E26+H26*I26+#REF!*#REF!+J26*L26</f>
        <v>#REF!</v>
      </c>
      <c r="P26" s="462">
        <f>'Water-Meter'!E30</f>
        <v>50</v>
      </c>
      <c r="Q26" s="243">
        <f>IF('Water-Meter'!U30&lt;0,"0",'Water-Meter'!U30)</f>
        <v>69</v>
      </c>
      <c r="R26" s="243">
        <f>IF('Water-Meter'!X30&lt;0,"0",'Water-Meter'!X30)</f>
        <v>0</v>
      </c>
      <c r="S26" s="243">
        <f>IF('Water-Meter'!AA30&lt;0,"0",'Water-Meter'!AA30)</f>
        <v>56</v>
      </c>
      <c r="T26" s="243">
        <f>IF('Water-Meter'!AD30&lt;0,"0",'Water-Meter'!AD30)</f>
        <v>17</v>
      </c>
      <c r="U26" s="243">
        <f>IF('Water-Meter'!AG30&lt;0,"0",'Water-Meter'!AG30)</f>
        <v>0</v>
      </c>
      <c r="V26" s="243">
        <f>IF('Water-Meter'!AJ30&lt;0,"0",'Water-Meter'!AJ30)</f>
        <v>22</v>
      </c>
      <c r="W26" s="31">
        <f>'Water-Meter'!AN30</f>
        <v>164</v>
      </c>
      <c r="X26" s="473">
        <f>Total!K26</f>
        <v>0</v>
      </c>
    </row>
    <row r="27" spans="1:24" x14ac:dyDescent="0.2">
      <c r="A27" s="458" t="s">
        <v>283</v>
      </c>
      <c r="B27" s="455">
        <f t="shared" si="0"/>
        <v>26</v>
      </c>
      <c r="C27" s="460">
        <v>11</v>
      </c>
      <c r="D27" s="461">
        <v>2020</v>
      </c>
      <c r="E27" s="456">
        <f>'UTILITY REPORT 1'!I28</f>
        <v>0</v>
      </c>
      <c r="F27" s="456">
        <f>'UTILITY REPORT 1'!E28</f>
        <v>928.16</v>
      </c>
      <c r="G27" s="457">
        <f>'UTILITY REPORT 1'!F28</f>
        <v>2255</v>
      </c>
      <c r="H27" s="456">
        <f>IF('Kit report'!F29&lt;0,"0",'Kit report'!F29)</f>
        <v>203.99999999986903</v>
      </c>
      <c r="I27" s="456">
        <f>IF('Kit report'!X29&lt;0,"0",'Kit report'!X29)</f>
        <v>160.00000000003638</v>
      </c>
      <c r="J27" s="456">
        <f>IF('Utility summery'!H31&lt;0,"0",'Utility summery'!H31)</f>
        <v>35</v>
      </c>
      <c r="K27" s="457">
        <f>IF('UTILITY REPORT 1'!H28&lt;0,"0",'UTILITY REPORT 1'!H28)</f>
        <v>46</v>
      </c>
      <c r="L27" s="456">
        <f>'Water-Meter'!K31</f>
        <v>1</v>
      </c>
      <c r="M27" s="457">
        <f>'Water-Meter'!H31</f>
        <v>0</v>
      </c>
      <c r="N27" s="457">
        <f>'Water-Meter'!Q31</f>
        <v>2</v>
      </c>
      <c r="O27" s="456" t="e">
        <f>K27*E27+H27*I27+#REF!*#REF!+J27*L27</f>
        <v>#REF!</v>
      </c>
      <c r="P27" s="462">
        <f>'Water-Meter'!E31</f>
        <v>56</v>
      </c>
      <c r="Q27" s="243">
        <f>IF('Water-Meter'!U31&lt;0,"0",'Water-Meter'!U31)</f>
        <v>83</v>
      </c>
      <c r="R27" s="243">
        <f>IF('Water-Meter'!X31&lt;0,"0",'Water-Meter'!X31)</f>
        <v>0</v>
      </c>
      <c r="S27" s="243">
        <f>IF('Water-Meter'!AA31&lt;0,"0",'Water-Meter'!AA31)</f>
        <v>55</v>
      </c>
      <c r="T27" s="243">
        <f>IF('Water-Meter'!AD31&lt;0,"0",'Water-Meter'!AD31)</f>
        <v>18</v>
      </c>
      <c r="U27" s="243">
        <f>IF('Water-Meter'!AG31&lt;0,"0",'Water-Meter'!AG31)</f>
        <v>0</v>
      </c>
      <c r="V27" s="243">
        <f>IF('Water-Meter'!AJ31&lt;0,"0",'Water-Meter'!AJ31)</f>
        <v>23</v>
      </c>
      <c r="W27" s="31">
        <f>'Water-Meter'!AN31</f>
        <v>179</v>
      </c>
      <c r="X27" s="473">
        <f>Total!K27</f>
        <v>0</v>
      </c>
    </row>
    <row r="28" spans="1:24" x14ac:dyDescent="0.2">
      <c r="A28" s="458" t="s">
        <v>283</v>
      </c>
      <c r="B28" s="455">
        <f t="shared" si="0"/>
        <v>27</v>
      </c>
      <c r="C28" s="460">
        <v>11</v>
      </c>
      <c r="D28" s="461">
        <v>2020</v>
      </c>
      <c r="E28" s="456">
        <f>'UTILITY REPORT 1'!I29</f>
        <v>0</v>
      </c>
      <c r="F28" s="456">
        <f>'UTILITY REPORT 1'!E29</f>
        <v>1021.58</v>
      </c>
      <c r="G28" s="457">
        <f>'UTILITY REPORT 1'!F29</f>
        <v>2395</v>
      </c>
      <c r="H28" s="456">
        <f>IF('Kit report'!F30&lt;0,"0",'Kit report'!F30)</f>
        <v>216.00000000013097</v>
      </c>
      <c r="I28" s="456">
        <f>IF('Kit report'!X30&lt;0,"0",'Kit report'!X30)</f>
        <v>120.00000000007276</v>
      </c>
      <c r="J28" s="456">
        <f>IF('Utility summery'!H32&lt;0,"0",'Utility summery'!H32)</f>
        <v>32</v>
      </c>
      <c r="K28" s="457">
        <f>IF('UTILITY REPORT 1'!H29&lt;0,"0",'UTILITY REPORT 1'!H29)</f>
        <v>46</v>
      </c>
      <c r="L28" s="456">
        <f>'Water-Meter'!K32</f>
        <v>1</v>
      </c>
      <c r="M28" s="457">
        <f>'Water-Meter'!H32</f>
        <v>0</v>
      </c>
      <c r="N28" s="457">
        <f>'Water-Meter'!Q32</f>
        <v>3</v>
      </c>
      <c r="O28" s="456" t="e">
        <f>K28*E28+H28*I28+#REF!*#REF!+J28*L28</f>
        <v>#REF!</v>
      </c>
      <c r="P28" s="462">
        <f>'Water-Meter'!E32</f>
        <v>47</v>
      </c>
      <c r="Q28" s="243">
        <f>IF('Water-Meter'!U32&lt;0,"0",'Water-Meter'!U32)</f>
        <v>83</v>
      </c>
      <c r="R28" s="243">
        <f>IF('Water-Meter'!X32&lt;0,"0",'Water-Meter'!X32)</f>
        <v>0</v>
      </c>
      <c r="S28" s="243">
        <f>IF('Water-Meter'!AA32&lt;0,"0",'Water-Meter'!AA32)</f>
        <v>54</v>
      </c>
      <c r="T28" s="243">
        <f>IF('Water-Meter'!AD32&lt;0,"0",'Water-Meter'!AD32)</f>
        <v>18</v>
      </c>
      <c r="U28" s="243">
        <f>IF('Water-Meter'!AG32&lt;0,"0",'Water-Meter'!AG32)</f>
        <v>0</v>
      </c>
      <c r="V28" s="243">
        <f>IF('Water-Meter'!AJ32&lt;0,"0",'Water-Meter'!AJ32)</f>
        <v>24</v>
      </c>
      <c r="W28" s="31">
        <f>'Water-Meter'!AN32</f>
        <v>179</v>
      </c>
      <c r="X28" s="473">
        <f>Total!K28</f>
        <v>0</v>
      </c>
    </row>
    <row r="29" spans="1:24" x14ac:dyDescent="0.2">
      <c r="A29" s="458" t="s">
        <v>283</v>
      </c>
      <c r="B29" s="455">
        <f t="shared" si="0"/>
        <v>28</v>
      </c>
      <c r="C29" s="460">
        <v>11</v>
      </c>
      <c r="D29" s="461">
        <v>2020</v>
      </c>
      <c r="E29" s="456">
        <f>'UTILITY REPORT 1'!I30</f>
        <v>0</v>
      </c>
      <c r="F29" s="456">
        <f>'UTILITY REPORT 1'!E30</f>
        <v>969.62</v>
      </c>
      <c r="G29" s="457">
        <f>'UTILITY REPORT 1'!F30</f>
        <v>0</v>
      </c>
      <c r="H29" s="456">
        <f>IF('Kit report'!F31&lt;0,"0",'Kit report'!F31)</f>
        <v>155.99999999991269</v>
      </c>
      <c r="I29" s="456">
        <f>IF('Kit report'!X31&lt;0,"0",'Kit report'!X31)</f>
        <v>139.99999999996362</v>
      </c>
      <c r="J29" s="456">
        <f>IF('Utility summery'!H33&lt;0,"0",'Utility summery'!H33)</f>
        <v>33</v>
      </c>
      <c r="K29" s="457">
        <f>IF('UTILITY REPORT 1'!H30&lt;0,"0",'UTILITY REPORT 1'!H30)</f>
        <v>44</v>
      </c>
      <c r="L29" s="456">
        <f>'Water-Meter'!K33</f>
        <v>1</v>
      </c>
      <c r="M29" s="457">
        <f>'Water-Meter'!H33</f>
        <v>0</v>
      </c>
      <c r="N29" s="457">
        <f>'Water-Meter'!Q33</f>
        <v>3</v>
      </c>
      <c r="O29" s="456" t="e">
        <f>K29*E29+H29*I29+#REF!*#REF!+J29*L29</f>
        <v>#REF!</v>
      </c>
      <c r="P29" s="462">
        <f>'Water-Meter'!E33</f>
        <v>45</v>
      </c>
      <c r="Q29" s="243">
        <f>IF('Water-Meter'!U33&lt;0,"0",'Water-Meter'!U33)</f>
        <v>41</v>
      </c>
      <c r="R29" s="243">
        <f>IF('Water-Meter'!X33&lt;0,"0",'Water-Meter'!X33)</f>
        <v>0</v>
      </c>
      <c r="S29" s="243">
        <f>IF('Water-Meter'!AA33&lt;0,"0",'Water-Meter'!AA33)</f>
        <v>54</v>
      </c>
      <c r="T29" s="243">
        <f>IF('Water-Meter'!AD33&lt;0,"0",'Water-Meter'!AD33)</f>
        <v>17</v>
      </c>
      <c r="U29" s="243">
        <f>IF('Water-Meter'!AG33&lt;0,"0",'Water-Meter'!AG33)</f>
        <v>0</v>
      </c>
      <c r="V29" s="243">
        <f>IF('Water-Meter'!AJ33&lt;0,"0",'Water-Meter'!AJ33)</f>
        <v>23</v>
      </c>
      <c r="W29" s="31">
        <f>'Water-Meter'!AN33</f>
        <v>135</v>
      </c>
      <c r="X29" s="473">
        <f>Total!K29</f>
        <v>0</v>
      </c>
    </row>
    <row r="30" spans="1:24" x14ac:dyDescent="0.2">
      <c r="A30" s="458" t="s">
        <v>283</v>
      </c>
      <c r="B30" s="455">
        <f t="shared" si="0"/>
        <v>29</v>
      </c>
      <c r="C30" s="460">
        <v>11</v>
      </c>
      <c r="D30" s="461">
        <v>2020</v>
      </c>
      <c r="E30" s="456">
        <f>'UTILITY REPORT 1'!I31</f>
        <v>0</v>
      </c>
      <c r="F30" s="456">
        <f>'UTILITY REPORT 1'!E31</f>
        <v>959.37</v>
      </c>
      <c r="G30" s="457">
        <f>'UTILITY REPORT 1'!F31</f>
        <v>2264</v>
      </c>
      <c r="H30" s="456">
        <f>IF('Kit report'!F32&lt;0,"0",'Kit report'!F32)</f>
        <v>204.00000000008731</v>
      </c>
      <c r="I30" s="456">
        <f>IF('Kit report'!X32&lt;0,"0",'Kit report'!X32)</f>
        <v>160.00000000003638</v>
      </c>
      <c r="J30" s="456">
        <f>IF('Utility summery'!H34&lt;0,"0",'Utility summery'!H34)</f>
        <v>37</v>
      </c>
      <c r="K30" s="457">
        <f>IF('UTILITY REPORT 1'!H31&lt;0,"0",'UTILITY REPORT 1'!H31)</f>
        <v>44</v>
      </c>
      <c r="L30" s="456">
        <f>'Water-Meter'!K34</f>
        <v>1</v>
      </c>
      <c r="M30" s="457">
        <f>'Water-Meter'!H34</f>
        <v>0</v>
      </c>
      <c r="N30" s="457">
        <f>'Water-Meter'!Q34</f>
        <v>4</v>
      </c>
      <c r="O30" s="456" t="e">
        <f>K30*E30+H30*I30+#REF!*#REF!+J30*L30</f>
        <v>#REF!</v>
      </c>
      <c r="P30" s="462">
        <f>'Water-Meter'!E34</f>
        <v>62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54</v>
      </c>
      <c r="T30" s="243">
        <f>IF('Water-Meter'!AD34&lt;0,"0",'Water-Meter'!AD34)</f>
        <v>20</v>
      </c>
      <c r="U30" s="243">
        <f>IF('Water-Meter'!AG34&lt;0,"0",'Water-Meter'!AG34)</f>
        <v>0</v>
      </c>
      <c r="V30" s="243">
        <f>IF('Water-Meter'!AJ34&lt;0,"0",'Water-Meter'!AJ34)</f>
        <v>22</v>
      </c>
      <c r="W30" s="31">
        <f>'Water-Meter'!AN34</f>
        <v>96</v>
      </c>
      <c r="X30" s="473">
        <f>Total!K30</f>
        <v>0</v>
      </c>
    </row>
    <row r="31" spans="1:24" x14ac:dyDescent="0.2">
      <c r="A31" s="458" t="s">
        <v>283</v>
      </c>
      <c r="B31" s="455">
        <v>30</v>
      </c>
      <c r="C31" s="460">
        <v>11</v>
      </c>
      <c r="D31" s="461">
        <v>2020</v>
      </c>
      <c r="E31" s="456">
        <f>'UTILITY REPORT 1'!I32</f>
        <v>0</v>
      </c>
      <c r="F31" s="456">
        <f>'UTILITY REPORT 1'!E32</f>
        <v>923.68</v>
      </c>
      <c r="G31" s="457">
        <f>'UTILITY REPORT 1'!F32</f>
        <v>0</v>
      </c>
      <c r="H31" s="456">
        <f>IF('Kit report'!F33&lt;0,"0",'Kit report'!F33)</f>
        <v>167.99999999995634</v>
      </c>
      <c r="I31" s="456">
        <f>IF('Kit report'!X33&lt;0,"0",'Kit report'!X33)</f>
        <v>139.99999999996362</v>
      </c>
      <c r="J31" s="456">
        <f>IF('Utility summery'!H35&lt;0,"0",'Utility summery'!H35)</f>
        <v>34</v>
      </c>
      <c r="K31" s="457">
        <f>IF('UTILITY REPORT 1'!H32&lt;0,"0",'UTILITY REPORT 1'!H32)</f>
        <v>41</v>
      </c>
      <c r="L31" s="456">
        <f>'Water-Meter'!K35</f>
        <v>1</v>
      </c>
      <c r="M31" s="457">
        <f>'Water-Meter'!H35</f>
        <v>0</v>
      </c>
      <c r="N31" s="457">
        <f>'Water-Meter'!Q35</f>
        <v>2</v>
      </c>
      <c r="O31" s="456" t="e">
        <f>K31*E31+H31*I31+#REF!*#REF!+J31*L31</f>
        <v>#REF!</v>
      </c>
      <c r="P31" s="462">
        <f>'Water-Meter'!E35</f>
        <v>46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55</v>
      </c>
      <c r="T31" s="243">
        <f>IF('Water-Meter'!AD35&lt;0,"0",'Water-Meter'!AD35)</f>
        <v>19</v>
      </c>
      <c r="U31" s="243">
        <f>IF('Water-Meter'!AG35&lt;0,"0",'Water-Meter'!AG35)</f>
        <v>0</v>
      </c>
      <c r="V31" s="243">
        <f>IF('Water-Meter'!AJ35&lt;0,"0",'Water-Meter'!AJ35)</f>
        <v>23</v>
      </c>
      <c r="W31" s="31">
        <f>'Water-Meter'!AN35</f>
        <v>97</v>
      </c>
      <c r="X31" s="473">
        <f>Total!K31</f>
        <v>0</v>
      </c>
    </row>
    <row r="32" spans="1:24" x14ac:dyDescent="0.2">
      <c r="E32" s="417"/>
      <c r="F32" s="417"/>
      <c r="H32" s="417"/>
      <c r="I32" s="417"/>
      <c r="J32" s="417"/>
      <c r="L32" s="417"/>
    </row>
    <row r="33" spans="5:12" x14ac:dyDescent="0.2">
      <c r="E33" s="417"/>
      <c r="F33" s="417"/>
      <c r="H33" s="417"/>
      <c r="I33" s="417"/>
      <c r="J33" s="417"/>
      <c r="L33" s="417"/>
    </row>
    <row r="34" spans="5:12" x14ac:dyDescent="0.2">
      <c r="E34" s="417"/>
      <c r="F34" s="417"/>
      <c r="H34" s="417"/>
      <c r="I34" s="417"/>
      <c r="J34" s="417"/>
      <c r="L34" s="417"/>
    </row>
    <row r="35" spans="5:12" x14ac:dyDescent="0.2">
      <c r="E35" s="417"/>
      <c r="F35" s="417"/>
      <c r="H35" s="417"/>
      <c r="I35" s="417"/>
      <c r="J35" s="417"/>
      <c r="L35" s="417"/>
    </row>
    <row r="36" spans="5:12" x14ac:dyDescent="0.2">
      <c r="E36" s="417"/>
      <c r="F36" s="417"/>
      <c r="H36" s="417"/>
      <c r="I36" s="417"/>
      <c r="J36" s="417"/>
      <c r="L36" s="417"/>
    </row>
    <row r="37" spans="5:12" x14ac:dyDescent="0.2">
      <c r="E37" s="417"/>
      <c r="F37" s="417"/>
      <c r="H37" s="417"/>
      <c r="I37" s="417"/>
      <c r="J37" s="417"/>
      <c r="L37" s="4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F32" sqref="F32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861" t="s">
        <v>314</v>
      </c>
      <c r="B1" s="861"/>
      <c r="C1" s="861"/>
      <c r="D1" s="861"/>
      <c r="E1" s="861"/>
      <c r="F1" s="861"/>
      <c r="G1" s="861"/>
      <c r="H1" s="861"/>
    </row>
    <row r="2" spans="1:9" ht="48" customHeight="1" thickBot="1" x14ac:dyDescent="0.25">
      <c r="A2" s="242" t="s">
        <v>0</v>
      </c>
      <c r="B2" s="132" t="s">
        <v>1</v>
      </c>
      <c r="C2" s="402" t="s">
        <v>268</v>
      </c>
      <c r="D2" s="286" t="s">
        <v>269</v>
      </c>
      <c r="E2" s="400" t="s">
        <v>267</v>
      </c>
      <c r="F2" s="286" t="s">
        <v>264</v>
      </c>
      <c r="G2" s="286" t="s">
        <v>265</v>
      </c>
      <c r="H2" s="402" t="s">
        <v>266</v>
      </c>
      <c r="I2" s="286" t="s">
        <v>270</v>
      </c>
    </row>
    <row r="3" spans="1:9" ht="13.5" x14ac:dyDescent="0.25">
      <c r="A3" s="401">
        <f>Gen!B11</f>
        <v>44136</v>
      </c>
      <c r="B3" s="403">
        <f>Gen!C11</f>
        <v>2.5999999999999999E-2</v>
      </c>
      <c r="C3" s="404">
        <f>'Summery Report'!E5</f>
        <v>3</v>
      </c>
      <c r="D3" s="405">
        <v>1</v>
      </c>
      <c r="E3" s="1014">
        <f>Gen!T11</f>
        <v>956.05</v>
      </c>
      <c r="F3" s="404">
        <f>Gen!U11</f>
        <v>2415</v>
      </c>
      <c r="G3" s="404">
        <f>'Water-Meter'!E6</f>
        <v>54</v>
      </c>
      <c r="H3" s="404">
        <f>'Utility report '!AC6</f>
        <v>41</v>
      </c>
      <c r="I3" s="404">
        <f>Gen!AL11</f>
        <v>0</v>
      </c>
    </row>
    <row r="4" spans="1:9" ht="13.5" x14ac:dyDescent="0.25">
      <c r="A4" s="401">
        <f>Gen!B12</f>
        <v>44137</v>
      </c>
      <c r="B4" s="403">
        <f>Gen!C12</f>
        <v>5.1900000000000002E-2</v>
      </c>
      <c r="C4" s="404">
        <f>'Summery Report'!E6</f>
        <v>5</v>
      </c>
      <c r="D4" s="405">
        <v>1</v>
      </c>
      <c r="E4" s="1014">
        <f>Gen!T12</f>
        <v>1107.92</v>
      </c>
      <c r="F4" s="404">
        <f>Gen!U12</f>
        <v>2617</v>
      </c>
      <c r="G4" s="404">
        <f>'Water-Meter'!E7</f>
        <v>48</v>
      </c>
      <c r="H4" s="404">
        <f>'Utility report '!AC7</f>
        <v>48</v>
      </c>
      <c r="I4" s="404">
        <f>Gen!AL12</f>
        <v>0</v>
      </c>
    </row>
    <row r="5" spans="1:9" ht="13.5" x14ac:dyDescent="0.25">
      <c r="A5" s="401">
        <f>Gen!B13</f>
        <v>44138</v>
      </c>
      <c r="B5" s="403">
        <f>Gen!C13</f>
        <v>7.7899999999999997E-2</v>
      </c>
      <c r="C5" s="404">
        <f>'Summery Report'!E7</f>
        <v>7</v>
      </c>
      <c r="D5" s="405">
        <v>1</v>
      </c>
      <c r="E5" s="1014">
        <f>Gen!T13</f>
        <v>1164.9899999999998</v>
      </c>
      <c r="F5" s="404">
        <f>Gen!U13</f>
        <v>2592</v>
      </c>
      <c r="G5" s="404">
        <f>'Water-Meter'!E8</f>
        <v>81</v>
      </c>
      <c r="H5" s="404">
        <f>'Utility report '!AC8</f>
        <v>48</v>
      </c>
      <c r="I5" s="404">
        <f>Gen!AL13</f>
        <v>0</v>
      </c>
    </row>
    <row r="6" spans="1:9" ht="13.5" x14ac:dyDescent="0.25">
      <c r="A6" s="401">
        <f>Gen!B14</f>
        <v>44139</v>
      </c>
      <c r="B6" s="403">
        <f>Gen!C14</f>
        <v>6.4899999999999999E-2</v>
      </c>
      <c r="C6" s="404">
        <f>'Summery Report'!E8</f>
        <v>6</v>
      </c>
      <c r="D6" s="405">
        <v>1</v>
      </c>
      <c r="E6" s="1014">
        <f>Gen!T14</f>
        <v>1046.3499999999999</v>
      </c>
      <c r="F6" s="404">
        <f>Gen!U14</f>
        <v>2655</v>
      </c>
      <c r="G6" s="404">
        <f>'Water-Meter'!E9</f>
        <v>50</v>
      </c>
      <c r="H6" s="404">
        <f>'Utility report '!AC9</f>
        <v>77</v>
      </c>
      <c r="I6" s="404">
        <f>Gen!AL14</f>
        <v>0</v>
      </c>
    </row>
    <row r="7" spans="1:9" ht="13.5" x14ac:dyDescent="0.25">
      <c r="A7" s="401">
        <f>Gen!B15</f>
        <v>44140</v>
      </c>
      <c r="B7" s="403">
        <f>Gen!C15</f>
        <v>2.5999999999999999E-2</v>
      </c>
      <c r="C7" s="404">
        <f>'Summery Report'!E9</f>
        <v>3</v>
      </c>
      <c r="D7" s="405">
        <v>1</v>
      </c>
      <c r="E7" s="1014">
        <f>Gen!T15</f>
        <v>1058.1999999999998</v>
      </c>
      <c r="F7" s="404">
        <f>Gen!U15</f>
        <v>2595</v>
      </c>
      <c r="G7" s="404">
        <f>'Water-Meter'!E10</f>
        <v>58</v>
      </c>
      <c r="H7" s="404">
        <f>'Utility report '!AC10</f>
        <v>13</v>
      </c>
      <c r="I7" s="404">
        <f>Gen!AL15</f>
        <v>0</v>
      </c>
    </row>
    <row r="8" spans="1:9" ht="13.5" x14ac:dyDescent="0.25">
      <c r="A8" s="401">
        <f>Gen!B16</f>
        <v>44141</v>
      </c>
      <c r="B8" s="403">
        <f>Gen!C16</f>
        <v>6.4899999999999999E-2</v>
      </c>
      <c r="C8" s="404">
        <f>'Summery Report'!E10</f>
        <v>6</v>
      </c>
      <c r="D8" s="405">
        <v>1</v>
      </c>
      <c r="E8" s="1014">
        <f>Gen!T16</f>
        <v>989.81999999999994</v>
      </c>
      <c r="F8" s="404">
        <f>Gen!U16</f>
        <v>2217</v>
      </c>
      <c r="G8" s="404">
        <f>'Water-Meter'!E11</f>
        <v>62</v>
      </c>
      <c r="H8" s="404">
        <f>'Utility report '!AC11</f>
        <v>47</v>
      </c>
      <c r="I8" s="404">
        <f>Gen!AL16</f>
        <v>0</v>
      </c>
    </row>
    <row r="9" spans="1:9" ht="13.5" x14ac:dyDescent="0.25">
      <c r="A9" s="401">
        <f>Gen!B17</f>
        <v>44142</v>
      </c>
      <c r="B9" s="403">
        <f>Gen!C17</f>
        <v>5.1900000000000002E-2</v>
      </c>
      <c r="C9" s="404">
        <f>'Summery Report'!E11</f>
        <v>5</v>
      </c>
      <c r="D9" s="405">
        <v>1</v>
      </c>
      <c r="E9" s="1014">
        <f>Gen!T17</f>
        <v>952.55</v>
      </c>
      <c r="F9" s="404">
        <f>Gen!U17</f>
        <v>2479</v>
      </c>
      <c r="G9" s="404">
        <f>'Water-Meter'!E12</f>
        <v>83</v>
      </c>
      <c r="H9" s="404">
        <f>'Utility report '!AC12</f>
        <v>45</v>
      </c>
      <c r="I9" s="404">
        <f>Gen!AL17</f>
        <v>0</v>
      </c>
    </row>
    <row r="10" spans="1:9" ht="13.5" x14ac:dyDescent="0.25">
      <c r="A10" s="401">
        <f>Gen!B18</f>
        <v>44143</v>
      </c>
      <c r="B10" s="403">
        <f>Gen!C18</f>
        <v>0</v>
      </c>
      <c r="C10" s="404">
        <f>'Summery Report'!E12</f>
        <v>1</v>
      </c>
      <c r="D10" s="405">
        <v>1</v>
      </c>
      <c r="E10" s="1014">
        <f>Gen!T18</f>
        <v>1024.56</v>
      </c>
      <c r="F10" s="404">
        <f>Gen!U18</f>
        <v>2341</v>
      </c>
      <c r="G10" s="404">
        <f>'Water-Meter'!E13</f>
        <v>63</v>
      </c>
      <c r="H10" s="404">
        <f>'Utility report '!AC13</f>
        <v>51</v>
      </c>
      <c r="I10" s="404">
        <f>Gen!AL18</f>
        <v>0</v>
      </c>
    </row>
    <row r="11" spans="1:9" ht="13.5" x14ac:dyDescent="0.25">
      <c r="A11" s="401">
        <f>Gen!B19</f>
        <v>44144</v>
      </c>
      <c r="B11" s="403">
        <f>Gen!C19</f>
        <v>1.2999999999999999E-2</v>
      </c>
      <c r="C11" s="404">
        <f>'Summery Report'!E13</f>
        <v>2</v>
      </c>
      <c r="D11" s="405">
        <v>1</v>
      </c>
      <c r="E11" s="1014">
        <f>Gen!T19</f>
        <v>1047.8499999999999</v>
      </c>
      <c r="F11" s="404">
        <f>Gen!U19</f>
        <v>2360</v>
      </c>
      <c r="G11" s="404">
        <f>'Water-Meter'!E14</f>
        <v>46</v>
      </c>
      <c r="H11" s="404">
        <f>'Utility report '!AC14</f>
        <v>47</v>
      </c>
      <c r="I11" s="404">
        <f>Gen!AL19</f>
        <v>0</v>
      </c>
    </row>
    <row r="12" spans="1:9" ht="13.5" x14ac:dyDescent="0.25">
      <c r="A12" s="401">
        <f>Gen!B20</f>
        <v>44145</v>
      </c>
      <c r="B12" s="403">
        <f>Gen!C20</f>
        <v>3.9E-2</v>
      </c>
      <c r="C12" s="404">
        <f>'Summery Report'!E14</f>
        <v>4</v>
      </c>
      <c r="D12" s="405">
        <v>1</v>
      </c>
      <c r="E12" s="1014">
        <f>Gen!T20</f>
        <v>933.25</v>
      </c>
      <c r="F12" s="404">
        <f>Gen!U20</f>
        <v>2323</v>
      </c>
      <c r="G12" s="404">
        <f>'Water-Meter'!E15</f>
        <v>53</v>
      </c>
      <c r="H12" s="404">
        <f>'Utility report '!AC15</f>
        <v>49</v>
      </c>
      <c r="I12" s="404">
        <f>Gen!AL20</f>
        <v>0</v>
      </c>
    </row>
    <row r="13" spans="1:9" ht="13.5" x14ac:dyDescent="0.25">
      <c r="A13" s="401">
        <f>Gen!B21</f>
        <v>44146</v>
      </c>
      <c r="B13" s="403">
        <f>Gen!C21</f>
        <v>6.4899999999999999E-2</v>
      </c>
      <c r="C13" s="404">
        <f>'Summery Report'!E15</f>
        <v>6</v>
      </c>
      <c r="D13" s="405">
        <v>1</v>
      </c>
      <c r="E13" s="1014">
        <f>Gen!T21</f>
        <v>942.23</v>
      </c>
      <c r="F13" s="404">
        <f>Gen!U21</f>
        <v>2283</v>
      </c>
      <c r="G13" s="404">
        <f>'Water-Meter'!E16</f>
        <v>63</v>
      </c>
      <c r="H13" s="404">
        <f>'Utility report '!AC16</f>
        <v>46</v>
      </c>
      <c r="I13" s="404">
        <f>Gen!AL21</f>
        <v>0</v>
      </c>
    </row>
    <row r="14" spans="1:9" ht="13.5" x14ac:dyDescent="0.25">
      <c r="A14" s="401">
        <f>Gen!B22</f>
        <v>44147</v>
      </c>
      <c r="B14" s="403">
        <f>Gen!C22</f>
        <v>0.05</v>
      </c>
      <c r="C14" s="404">
        <f>'Summery Report'!E16</f>
        <v>5</v>
      </c>
      <c r="D14" s="405">
        <v>1</v>
      </c>
      <c r="E14" s="1014">
        <f>Gen!T22</f>
        <v>1082.96</v>
      </c>
      <c r="F14" s="404">
        <f>Gen!U22</f>
        <v>2328</v>
      </c>
      <c r="G14" s="404">
        <f>'Water-Meter'!E17</f>
        <v>48</v>
      </c>
      <c r="H14" s="404">
        <f>'Utility report '!AC17</f>
        <v>43</v>
      </c>
      <c r="I14" s="404">
        <f>Gen!AL22</f>
        <v>0</v>
      </c>
    </row>
    <row r="15" spans="1:9" ht="13.5" x14ac:dyDescent="0.25">
      <c r="A15" s="401">
        <f>Gen!B23</f>
        <v>44148</v>
      </c>
      <c r="B15" s="403">
        <f>Gen!C23</f>
        <v>5.1900000000000002E-2</v>
      </c>
      <c r="C15" s="404">
        <f>'Summery Report'!E17</f>
        <v>7</v>
      </c>
      <c r="D15" s="405">
        <v>1</v>
      </c>
      <c r="E15" s="1014">
        <f>Gen!T23</f>
        <v>959.29</v>
      </c>
      <c r="F15" s="404">
        <f>Gen!U23</f>
        <v>2362</v>
      </c>
      <c r="G15" s="404">
        <f>'Water-Meter'!E18</f>
        <v>62</v>
      </c>
      <c r="H15" s="404">
        <f>'Utility report '!AC18</f>
        <v>42</v>
      </c>
      <c r="I15" s="404">
        <f>Gen!AL23</f>
        <v>0</v>
      </c>
    </row>
    <row r="16" spans="1:9" ht="13.5" x14ac:dyDescent="0.25">
      <c r="A16" s="401">
        <f>Gen!B24</f>
        <v>44149</v>
      </c>
      <c r="B16" s="403">
        <f>Gen!C24</f>
        <v>0.18179999999999999</v>
      </c>
      <c r="C16" s="404">
        <f>'Summery Report'!E18</f>
        <v>15</v>
      </c>
      <c r="D16" s="405">
        <v>1</v>
      </c>
      <c r="E16" s="1014">
        <f>Gen!T24</f>
        <v>962.89</v>
      </c>
      <c r="F16" s="404">
        <f>Gen!U24</f>
        <v>2380</v>
      </c>
      <c r="G16" s="404">
        <f>'Water-Meter'!E19</f>
        <v>52</v>
      </c>
      <c r="H16" s="404">
        <f>'Utility report '!AC19</f>
        <v>42</v>
      </c>
      <c r="I16" s="404">
        <f>Gen!AL24</f>
        <v>0</v>
      </c>
    </row>
    <row r="17" spans="1:9" ht="13.5" x14ac:dyDescent="0.25">
      <c r="A17" s="401">
        <f>Gen!B25</f>
        <v>44150</v>
      </c>
      <c r="B17" s="403">
        <f>Gen!C25</f>
        <v>0.1429</v>
      </c>
      <c r="C17" s="404">
        <f>'Summery Report'!E19</f>
        <v>13</v>
      </c>
      <c r="D17" s="405">
        <v>1</v>
      </c>
      <c r="E17" s="1014">
        <f>Gen!T25</f>
        <v>1055.07</v>
      </c>
      <c r="F17" s="404">
        <f>Gen!U25</f>
        <v>2337</v>
      </c>
      <c r="G17" s="404">
        <f>'Water-Meter'!E20</f>
        <v>78</v>
      </c>
      <c r="H17" s="404">
        <f>'Utility report '!AC20</f>
        <v>39</v>
      </c>
      <c r="I17" s="404">
        <f>Gen!AL25</f>
        <v>0</v>
      </c>
    </row>
    <row r="18" spans="1:9" ht="13.5" x14ac:dyDescent="0.25">
      <c r="A18" s="401">
        <f>Gen!B26</f>
        <v>44151</v>
      </c>
      <c r="B18" s="403">
        <f>Gen!C26</f>
        <v>0.12989999999999999</v>
      </c>
      <c r="C18" s="404">
        <f>'Summery Report'!E20</f>
        <v>12</v>
      </c>
      <c r="D18" s="405">
        <v>1</v>
      </c>
      <c r="E18" s="1014">
        <f>Gen!T26</f>
        <v>1129.6500000000001</v>
      </c>
      <c r="F18" s="404">
        <f>Gen!U26</f>
        <v>2468</v>
      </c>
      <c r="G18" s="404">
        <f>'Water-Meter'!E21</f>
        <v>52</v>
      </c>
      <c r="H18" s="404">
        <f>'Utility report '!AC21</f>
        <v>37</v>
      </c>
      <c r="I18" s="404">
        <f>Gen!AL26</f>
        <v>0</v>
      </c>
    </row>
    <row r="19" spans="1:9" ht="13.5" x14ac:dyDescent="0.25">
      <c r="A19" s="401">
        <f>Gen!B27</f>
        <v>44152</v>
      </c>
      <c r="B19" s="403">
        <f>Gen!C27</f>
        <v>0.03</v>
      </c>
      <c r="C19" s="404">
        <f>'Summery Report'!E21</f>
        <v>0</v>
      </c>
      <c r="D19" s="405">
        <v>1</v>
      </c>
      <c r="E19" s="1014">
        <f>Gen!T27</f>
        <v>928.98</v>
      </c>
      <c r="F19" s="404">
        <f>Gen!U27</f>
        <v>2266</v>
      </c>
      <c r="G19" s="404">
        <f>'Water-Meter'!E22</f>
        <v>53</v>
      </c>
      <c r="H19" s="404">
        <f>'Utility report '!AC22</f>
        <v>32</v>
      </c>
      <c r="I19" s="404">
        <f>Gen!AL27</f>
        <v>0</v>
      </c>
    </row>
    <row r="20" spans="1:9" ht="13.5" x14ac:dyDescent="0.25">
      <c r="A20" s="401">
        <f>Gen!B28</f>
        <v>44153</v>
      </c>
      <c r="B20" s="403">
        <f>Gen!C28</f>
        <v>0.104</v>
      </c>
      <c r="C20" s="404">
        <f>'Summery Report'!E22</f>
        <v>0</v>
      </c>
      <c r="D20" s="405">
        <v>1</v>
      </c>
      <c r="E20" s="1014">
        <f>Gen!T28</f>
        <v>997.24</v>
      </c>
      <c r="F20" s="404">
        <f>Gen!U28</f>
        <v>2398</v>
      </c>
      <c r="G20" s="404">
        <f>'Water-Meter'!E23</f>
        <v>51</v>
      </c>
      <c r="H20" s="404">
        <f>'Utility report '!AC23</f>
        <v>28</v>
      </c>
      <c r="I20" s="404">
        <f>Gen!AL28</f>
        <v>0</v>
      </c>
    </row>
    <row r="21" spans="1:9" ht="13.5" x14ac:dyDescent="0.25">
      <c r="A21" s="401">
        <f>Gen!B29</f>
        <v>44154</v>
      </c>
      <c r="B21" s="403">
        <f>Gen!C29</f>
        <v>5.1999999999999998E-2</v>
      </c>
      <c r="C21" s="404">
        <f>'Summery Report'!E23</f>
        <v>0</v>
      </c>
      <c r="D21" s="405">
        <v>1</v>
      </c>
      <c r="E21" s="1014">
        <f>Gen!T29</f>
        <v>1041.67</v>
      </c>
      <c r="F21" s="404">
        <f>Gen!U29</f>
        <v>2587</v>
      </c>
      <c r="G21" s="404">
        <f>'Water-Meter'!E24</f>
        <v>127</v>
      </c>
      <c r="H21" s="404">
        <f>'Utility report '!AC24</f>
        <v>25</v>
      </c>
      <c r="I21" s="404">
        <f>Gen!AL29</f>
        <v>0</v>
      </c>
    </row>
    <row r="22" spans="1:9" ht="13.5" x14ac:dyDescent="0.25">
      <c r="A22" s="401">
        <f>Gen!B30</f>
        <v>44155</v>
      </c>
      <c r="B22" s="403">
        <f>Gen!C30</f>
        <v>5.1999999999999998E-2</v>
      </c>
      <c r="C22" s="404">
        <f>'Summery Report'!E24</f>
        <v>0</v>
      </c>
      <c r="D22" s="405">
        <v>1</v>
      </c>
      <c r="E22" s="1014">
        <f>Gen!T30</f>
        <v>1005.0600000000001</v>
      </c>
      <c r="F22" s="404">
        <f>Gen!U30</f>
        <v>2592</v>
      </c>
      <c r="G22" s="404">
        <f>'Water-Meter'!E25</f>
        <v>46</v>
      </c>
      <c r="H22" s="404">
        <f>'Utility report '!AC25</f>
        <v>25</v>
      </c>
      <c r="I22" s="404">
        <f>Gen!AL30</f>
        <v>0</v>
      </c>
    </row>
    <row r="23" spans="1:9" ht="13.5" x14ac:dyDescent="0.25">
      <c r="A23" s="401">
        <f>Gen!B31</f>
        <v>44156</v>
      </c>
      <c r="B23" s="403">
        <f>Gen!C31</f>
        <v>6.5000000000000002E-2</v>
      </c>
      <c r="C23" s="404">
        <f>'Summery Report'!E25</f>
        <v>0</v>
      </c>
      <c r="D23" s="405">
        <v>1</v>
      </c>
      <c r="E23" s="1014">
        <f>Gen!T31</f>
        <v>1105.44</v>
      </c>
      <c r="F23" s="404">
        <f>Gen!U31</f>
        <v>2673</v>
      </c>
      <c r="G23" s="404">
        <f>'Water-Meter'!E26</f>
        <v>47</v>
      </c>
      <c r="H23" s="404">
        <f>'Utility report '!AC26</f>
        <v>23</v>
      </c>
      <c r="I23" s="404">
        <f>Gen!AL31</f>
        <v>0</v>
      </c>
    </row>
    <row r="24" spans="1:9" ht="13.5" x14ac:dyDescent="0.25">
      <c r="A24" s="401">
        <f>Gen!B32</f>
        <v>44157</v>
      </c>
      <c r="B24" s="403">
        <f>Gen!C32</f>
        <v>0.1</v>
      </c>
      <c r="C24" s="404">
        <f>'Summery Report'!E26</f>
        <v>0</v>
      </c>
      <c r="D24" s="405">
        <v>1</v>
      </c>
      <c r="E24" s="1014">
        <f>Gen!T32</f>
        <v>1044.04</v>
      </c>
      <c r="F24" s="404">
        <f>Gen!U32</f>
        <v>2585</v>
      </c>
      <c r="G24" s="404">
        <f>'Water-Meter'!E27</f>
        <v>51</v>
      </c>
      <c r="H24" s="404">
        <f>'Utility report '!AC27</f>
        <v>0</v>
      </c>
      <c r="I24" s="404">
        <f>Gen!AL32</f>
        <v>0</v>
      </c>
    </row>
    <row r="25" spans="1:9" ht="13.5" x14ac:dyDescent="0.25">
      <c r="A25" s="401">
        <f>Gen!B33</f>
        <v>44158</v>
      </c>
      <c r="B25" s="403">
        <f>Gen!C33</f>
        <v>6.5000000000000002E-2</v>
      </c>
      <c r="C25" s="404">
        <f>'Summery Report'!E27</f>
        <v>0</v>
      </c>
      <c r="D25" s="405">
        <v>1</v>
      </c>
      <c r="E25" s="1014">
        <f>Gen!T33</f>
        <v>1074.8399999999999</v>
      </c>
      <c r="F25" s="404">
        <f>Gen!U33</f>
        <v>2587</v>
      </c>
      <c r="G25" s="404">
        <f>'Water-Meter'!E28</f>
        <v>61</v>
      </c>
      <c r="H25" s="404">
        <f>'Utility report '!AC28</f>
        <v>24</v>
      </c>
      <c r="I25" s="404">
        <f>Gen!AL33</f>
        <v>0</v>
      </c>
    </row>
    <row r="26" spans="1:9" ht="13.5" x14ac:dyDescent="0.25">
      <c r="A26" s="401">
        <f>Gen!B34</f>
        <v>44159</v>
      </c>
      <c r="B26" s="403">
        <f>Gen!C34</f>
        <v>6.5000000000000002E-2</v>
      </c>
      <c r="C26" s="404">
        <f>'Summery Report'!E28</f>
        <v>0</v>
      </c>
      <c r="D26" s="405">
        <v>1</v>
      </c>
      <c r="E26" s="1014">
        <f>Gen!T34</f>
        <v>1019.27</v>
      </c>
      <c r="F26" s="404">
        <f>Gen!U34</f>
        <v>2376</v>
      </c>
      <c r="G26" s="404">
        <f>'Water-Meter'!E29</f>
        <v>49</v>
      </c>
      <c r="H26" s="404">
        <f>'Utility report '!AC29</f>
        <v>35</v>
      </c>
      <c r="I26" s="404">
        <f>Gen!AL34</f>
        <v>0</v>
      </c>
    </row>
    <row r="27" spans="1:9" ht="13.5" x14ac:dyDescent="0.25">
      <c r="A27" s="401">
        <f>Gen!B35</f>
        <v>44160</v>
      </c>
      <c r="B27" s="403">
        <f>Gen!C35</f>
        <v>3.9E-2</v>
      </c>
      <c r="C27" s="404">
        <f>'Summery Report'!E29</f>
        <v>0</v>
      </c>
      <c r="D27" s="405">
        <v>1</v>
      </c>
      <c r="E27" s="1014">
        <f>Gen!T35</f>
        <v>979.02</v>
      </c>
      <c r="F27" s="404">
        <f>Gen!U35</f>
        <v>2258</v>
      </c>
      <c r="G27" s="404">
        <f>'Water-Meter'!E30</f>
        <v>50</v>
      </c>
      <c r="H27" s="404">
        <f>'Utility report '!AC30</f>
        <v>39</v>
      </c>
      <c r="I27" s="404">
        <f>Gen!AL35</f>
        <v>0</v>
      </c>
    </row>
    <row r="28" spans="1:9" ht="13.5" x14ac:dyDescent="0.25">
      <c r="A28" s="401">
        <f>Gen!B36</f>
        <v>44161</v>
      </c>
      <c r="B28" s="403">
        <f>Gen!C36</f>
        <v>1.2999999999999999E-2</v>
      </c>
      <c r="C28" s="404">
        <f>'Summery Report'!E30</f>
        <v>0</v>
      </c>
      <c r="D28" s="405">
        <v>1</v>
      </c>
      <c r="E28" s="1014">
        <f>Gen!T36</f>
        <v>928.16</v>
      </c>
      <c r="F28" s="404">
        <f>Gen!U36</f>
        <v>2255</v>
      </c>
      <c r="G28" s="404">
        <f>'Water-Meter'!E31</f>
        <v>56</v>
      </c>
      <c r="H28" s="404">
        <f>'Utility report '!AC31</f>
        <v>46</v>
      </c>
      <c r="I28" s="404">
        <f>Gen!AL36</f>
        <v>0</v>
      </c>
    </row>
    <row r="29" spans="1:9" ht="13.5" x14ac:dyDescent="0.25">
      <c r="A29" s="401">
        <f>Gen!B37</f>
        <v>44162</v>
      </c>
      <c r="B29" s="403">
        <f>Gen!C37</f>
        <v>0.01</v>
      </c>
      <c r="C29" s="404">
        <f>'Summery Report'!E31</f>
        <v>0</v>
      </c>
      <c r="D29" s="405">
        <v>1</v>
      </c>
      <c r="E29" s="1014">
        <f>Gen!T37</f>
        <v>1021.58</v>
      </c>
      <c r="F29" s="404">
        <f>Gen!U37</f>
        <v>2395</v>
      </c>
      <c r="G29" s="404">
        <f>'Water-Meter'!E32</f>
        <v>47</v>
      </c>
      <c r="H29" s="404">
        <f>'Utility report '!AC32</f>
        <v>46</v>
      </c>
      <c r="I29" s="404">
        <f>Gen!AL37</f>
        <v>0</v>
      </c>
    </row>
    <row r="30" spans="1:9" ht="13.5" x14ac:dyDescent="0.25">
      <c r="A30" s="401">
        <f>Gen!B38</f>
        <v>44163</v>
      </c>
      <c r="B30" s="403">
        <f>Gen!C38</f>
        <v>2.5999999999999999E-2</v>
      </c>
      <c r="C30" s="404">
        <f>'Summery Report'!E32</f>
        <v>0</v>
      </c>
      <c r="D30" s="405">
        <v>1</v>
      </c>
      <c r="E30" s="1014">
        <f>Gen!T38</f>
        <v>969.62</v>
      </c>
      <c r="F30" s="404">
        <f>Gen!U38</f>
        <v>0</v>
      </c>
      <c r="G30" s="404">
        <f>'Water-Meter'!E33</f>
        <v>45</v>
      </c>
      <c r="H30" s="404">
        <f>'Utility report '!AC33</f>
        <v>44</v>
      </c>
      <c r="I30" s="404">
        <f>Gen!AL38</f>
        <v>0</v>
      </c>
    </row>
    <row r="31" spans="1:9" ht="13.5" x14ac:dyDescent="0.25">
      <c r="A31" s="401">
        <f>Gen!B39</f>
        <v>44164</v>
      </c>
      <c r="B31" s="403">
        <f>Gen!C39</f>
        <v>2.5999999999999999E-2</v>
      </c>
      <c r="C31" s="404">
        <f>'Summery Report'!E33</f>
        <v>0</v>
      </c>
      <c r="D31" s="405">
        <v>1</v>
      </c>
      <c r="E31" s="1014">
        <f>Gen!T39</f>
        <v>959.37</v>
      </c>
      <c r="F31" s="404">
        <f>Gen!U39</f>
        <v>2264</v>
      </c>
      <c r="G31" s="404">
        <f>'Water-Meter'!E34</f>
        <v>62</v>
      </c>
      <c r="H31" s="404">
        <f>'Utility report '!AC34</f>
        <v>44</v>
      </c>
      <c r="I31" s="404">
        <f>Gen!AL39</f>
        <v>0</v>
      </c>
    </row>
    <row r="32" spans="1:9" ht="13.5" x14ac:dyDescent="0.25">
      <c r="A32" s="401">
        <f>Gen!B40</f>
        <v>44165</v>
      </c>
      <c r="B32" s="403">
        <f>Gen!C40</f>
        <v>3.9E-2</v>
      </c>
      <c r="C32" s="404">
        <f>'Summery Report'!E34</f>
        <v>0</v>
      </c>
      <c r="D32" s="405">
        <v>1</v>
      </c>
      <c r="E32" s="1014">
        <f>Gen!T40</f>
        <v>923.68</v>
      </c>
      <c r="F32" s="404">
        <f>Gen!U40</f>
        <v>0</v>
      </c>
      <c r="G32" s="404">
        <f>'Water-Meter'!E35</f>
        <v>46</v>
      </c>
      <c r="H32" s="404">
        <f>'Utility report '!AC35</f>
        <v>41</v>
      </c>
      <c r="I32" s="404">
        <f>Gen!AL40</f>
        <v>0</v>
      </c>
    </row>
    <row r="33" spans="1:9" ht="13.5" x14ac:dyDescent="0.25">
      <c r="A33" s="401">
        <f>Gen!B41</f>
        <v>44166</v>
      </c>
      <c r="B33" s="403">
        <f>Gen!C41</f>
        <v>0</v>
      </c>
      <c r="C33" s="404">
        <f>'Summery Report'!E35</f>
        <v>0</v>
      </c>
      <c r="D33" s="405">
        <v>1</v>
      </c>
      <c r="E33" s="1014">
        <f>Gen!T41</f>
        <v>0</v>
      </c>
      <c r="F33" s="404">
        <f>Gen!U41</f>
        <v>0</v>
      </c>
      <c r="G33" s="404" t="str">
        <f>'Water-Meter'!E36</f>
        <v>0</v>
      </c>
      <c r="H33" s="404">
        <f>'Utility report '!AC36</f>
        <v>-41932</v>
      </c>
      <c r="I33" s="404">
        <f>Gen!AL41</f>
        <v>0</v>
      </c>
    </row>
    <row r="34" spans="1:9" ht="13.5" x14ac:dyDescent="0.25">
      <c r="A34" s="401"/>
      <c r="B34" s="403">
        <f>Gen!C42</f>
        <v>0</v>
      </c>
      <c r="C34" s="404">
        <f>'Summery Report'!E36</f>
        <v>0</v>
      </c>
      <c r="D34" s="405">
        <v>2</v>
      </c>
      <c r="E34" s="1014">
        <f>Gen!T42</f>
        <v>0</v>
      </c>
      <c r="F34" s="404">
        <f>Gen!U42</f>
        <v>0</v>
      </c>
      <c r="G34" s="404">
        <f>'Water-Meter'!E37</f>
        <v>0</v>
      </c>
      <c r="H34" s="404">
        <f>'Utility report '!AC37</f>
        <v>0</v>
      </c>
      <c r="I34" s="404">
        <f>Gen!AL42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 x14ac:dyDescent="0.2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34.5" thickBot="1" x14ac:dyDescent="0.25">
      <c r="A4" s="784" t="s">
        <v>0</v>
      </c>
      <c r="B4" s="785" t="s">
        <v>141</v>
      </c>
      <c r="C4" s="786" t="s">
        <v>248</v>
      </c>
      <c r="D4" s="862" t="s">
        <v>135</v>
      </c>
      <c r="E4" s="862"/>
      <c r="F4" s="862"/>
      <c r="G4" s="863" t="s">
        <v>20</v>
      </c>
      <c r="H4" s="863"/>
      <c r="I4" s="863"/>
      <c r="J4" s="864" t="s">
        <v>54</v>
      </c>
      <c r="K4" s="864"/>
      <c r="L4" s="864"/>
      <c r="M4" s="864"/>
      <c r="N4" s="865" t="s">
        <v>143</v>
      </c>
      <c r="O4" s="865"/>
      <c r="P4" s="865"/>
      <c r="Q4" s="787"/>
      <c r="R4" s="787"/>
      <c r="S4" s="788"/>
    </row>
    <row r="5" spans="1:19" ht="25.5" x14ac:dyDescent="0.2">
      <c r="A5" s="789"/>
      <c r="B5" s="790"/>
      <c r="C5" s="791"/>
      <c r="D5" s="792" t="s">
        <v>136</v>
      </c>
      <c r="E5" s="792" t="s">
        <v>137</v>
      </c>
      <c r="F5" s="792" t="s">
        <v>121</v>
      </c>
      <c r="G5" s="793" t="s">
        <v>138</v>
      </c>
      <c r="H5" s="793" t="s">
        <v>19</v>
      </c>
      <c r="I5" s="794" t="s">
        <v>139</v>
      </c>
      <c r="J5" s="795" t="s">
        <v>142</v>
      </c>
      <c r="K5" s="795" t="s">
        <v>140</v>
      </c>
      <c r="L5" s="795" t="s">
        <v>140</v>
      </c>
      <c r="M5" s="796" t="s">
        <v>18</v>
      </c>
      <c r="N5" s="797" t="s">
        <v>144</v>
      </c>
      <c r="O5" s="797" t="s">
        <v>146</v>
      </c>
      <c r="P5" s="798" t="s">
        <v>145</v>
      </c>
      <c r="Q5" s="799" t="s">
        <v>148</v>
      </c>
      <c r="R5" s="799" t="s">
        <v>147</v>
      </c>
      <c r="S5" s="800" t="s">
        <v>149</v>
      </c>
    </row>
    <row r="6" spans="1:19" ht="14.25" x14ac:dyDescent="0.2">
      <c r="A6" s="450">
        <f>Gen!B11</f>
        <v>44136</v>
      </c>
      <c r="B6" s="6">
        <f>'Summery Report'!E5</f>
        <v>3</v>
      </c>
      <c r="C6" s="6">
        <f>Gen!V11</f>
        <v>0.39587991718426502</v>
      </c>
      <c r="D6" s="153">
        <f>Gen!U11</f>
        <v>2415</v>
      </c>
      <c r="E6" s="153">
        <f>Gen!AL11</f>
        <v>0</v>
      </c>
      <c r="F6" s="153">
        <f>Gen!AT11</f>
        <v>0</v>
      </c>
      <c r="G6" s="154">
        <f>'Utility report '!AC6</f>
        <v>41</v>
      </c>
      <c r="H6" s="154">
        <f>'Utility report '!AE6</f>
        <v>36</v>
      </c>
      <c r="I6" s="297">
        <f>'Water-Meter'!E6</f>
        <v>54</v>
      </c>
      <c r="J6" s="155">
        <f>'Lpg (2)'!B10</f>
        <v>30</v>
      </c>
      <c r="K6" s="155">
        <f>'Lpg (2)'!C10</f>
        <v>85</v>
      </c>
      <c r="L6" s="155">
        <f>'Lpg (2)'!D10</f>
        <v>85</v>
      </c>
      <c r="M6" s="449">
        <f>'Lpg (2)'!G10</f>
        <v>0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51" t="e">
        <f t="shared" ref="S6:S37" si="1">Q6/B6</f>
        <v>#REF!</v>
      </c>
    </row>
    <row r="7" spans="1:19" ht="14.25" x14ac:dyDescent="0.2">
      <c r="A7" s="450">
        <f>Gen!B12</f>
        <v>44137</v>
      </c>
      <c r="B7" s="6">
        <f>'Summery Report'!E6</f>
        <v>5</v>
      </c>
      <c r="C7" s="6">
        <f>Gen!V12</f>
        <v>0.42335498662590754</v>
      </c>
      <c r="D7" s="153">
        <f>Gen!U12</f>
        <v>2617</v>
      </c>
      <c r="E7" s="153">
        <f>Gen!AL12</f>
        <v>0</v>
      </c>
      <c r="F7" s="153">
        <f>Gen!AT12</f>
        <v>0</v>
      </c>
      <c r="G7" s="154">
        <f>'Utility report '!AC7</f>
        <v>48</v>
      </c>
      <c r="H7" s="154">
        <f>'Utility report '!AE7</f>
        <v>26</v>
      </c>
      <c r="I7" s="297">
        <f>'Water-Meter'!E7</f>
        <v>48</v>
      </c>
      <c r="J7" s="155">
        <f>'Lpg (2)'!B11</f>
        <v>25</v>
      </c>
      <c r="K7" s="155">
        <f>'Lpg (2)'!C11</f>
        <v>85</v>
      </c>
      <c r="L7" s="155">
        <f>'Lpg (2)'!D11</f>
        <v>85</v>
      </c>
      <c r="M7" s="449">
        <f>'Lpg (2)'!G11</f>
        <v>57.420000000012813</v>
      </c>
      <c r="N7" s="152">
        <f>D7*1.4</f>
        <v>3663.7999999999997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732.76</v>
      </c>
      <c r="S7" s="451" t="e">
        <f t="shared" si="1"/>
        <v>#REF!</v>
      </c>
    </row>
    <row r="8" spans="1:19" ht="14.25" x14ac:dyDescent="0.2">
      <c r="A8" s="450">
        <f>Gen!B13</f>
        <v>44138</v>
      </c>
      <c r="B8" s="6">
        <f>'Summery Report'!E7</f>
        <v>7</v>
      </c>
      <c r="C8" s="6">
        <f>Gen!V13</f>
        <v>0.44945601851851841</v>
      </c>
      <c r="D8" s="153">
        <f>Gen!U13</f>
        <v>2592</v>
      </c>
      <c r="E8" s="153">
        <f>Gen!AL13</f>
        <v>0</v>
      </c>
      <c r="F8" s="153">
        <f>Gen!AT13</f>
        <v>0</v>
      </c>
      <c r="G8" s="154">
        <f>'Utility report '!AC8</f>
        <v>48</v>
      </c>
      <c r="H8" s="154">
        <f>'Utility report '!AE8</f>
        <v>26</v>
      </c>
      <c r="I8" s="297">
        <f>'Water-Meter'!E8</f>
        <v>81</v>
      </c>
      <c r="J8" s="155">
        <f>'Lpg (2)'!B12</f>
        <v>22</v>
      </c>
      <c r="K8" s="155">
        <f>'Lpg (2)'!C12</f>
        <v>85</v>
      </c>
      <c r="L8" s="155">
        <f>'Lpg (2)'!D12</f>
        <v>85</v>
      </c>
      <c r="M8" s="449">
        <f>'Lpg (2)'!G12</f>
        <v>50.159999999974396</v>
      </c>
      <c r="N8" s="152">
        <f t="shared" ref="N8:O36" si="2">D8*1.4</f>
        <v>3628.7999999999997</v>
      </c>
      <c r="O8" s="152">
        <f t="shared" si="2"/>
        <v>0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518.4</v>
      </c>
      <c r="S8" s="451" t="e">
        <f t="shared" si="1"/>
        <v>#REF!</v>
      </c>
    </row>
    <row r="9" spans="1:19" ht="14.25" x14ac:dyDescent="0.2">
      <c r="A9" s="450">
        <f>Gen!B14</f>
        <v>44139</v>
      </c>
      <c r="B9" s="6">
        <f>'Summery Report'!E8</f>
        <v>6</v>
      </c>
      <c r="C9" s="6">
        <f>Gen!V14</f>
        <v>0.39410546139359698</v>
      </c>
      <c r="D9" s="153">
        <f>Gen!U14</f>
        <v>2655</v>
      </c>
      <c r="E9" s="153">
        <f>Gen!AL14</f>
        <v>0</v>
      </c>
      <c r="F9" s="153">
        <f>Gen!AT14</f>
        <v>0</v>
      </c>
      <c r="G9" s="154">
        <f>'Utility report '!AC9</f>
        <v>77</v>
      </c>
      <c r="H9" s="154">
        <f>'Utility report '!AE9</f>
        <v>45</v>
      </c>
      <c r="I9" s="297">
        <f>'Water-Meter'!E9</f>
        <v>50</v>
      </c>
      <c r="J9" s="155">
        <f>'Lpg (2)'!B13</f>
        <v>20</v>
      </c>
      <c r="K9" s="155">
        <f>'Lpg (2)'!C13</f>
        <v>85</v>
      </c>
      <c r="L9" s="155">
        <f>'Lpg (2)'!D13</f>
        <v>85</v>
      </c>
      <c r="M9" s="449">
        <f>'Lpg (2)'!G13</f>
        <v>57.815999999997445</v>
      </c>
      <c r="N9" s="152">
        <f t="shared" si="2"/>
        <v>3716.9999999999995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619.49999999999989</v>
      </c>
      <c r="S9" s="451" t="e">
        <f t="shared" si="1"/>
        <v>#REF!</v>
      </c>
    </row>
    <row r="10" spans="1:19" ht="14.25" x14ac:dyDescent="0.2">
      <c r="A10" s="450">
        <f>Gen!B15</f>
        <v>44140</v>
      </c>
      <c r="B10" s="6">
        <f>'Summery Report'!E9</f>
        <v>3</v>
      </c>
      <c r="C10" s="6">
        <f>Gen!V15</f>
        <v>0.4077842003853564</v>
      </c>
      <c r="D10" s="153">
        <f>Gen!U15</f>
        <v>2595</v>
      </c>
      <c r="E10" s="153">
        <f>Gen!AL15</f>
        <v>0</v>
      </c>
      <c r="F10" s="153">
        <f>Gen!AT15</f>
        <v>0</v>
      </c>
      <c r="G10" s="154">
        <f>'Utility report '!AC10</f>
        <v>13</v>
      </c>
      <c r="H10" s="154">
        <f>'Utility report '!AE10</f>
        <v>46</v>
      </c>
      <c r="I10" s="297">
        <f>'Water-Meter'!E10</f>
        <v>58</v>
      </c>
      <c r="J10" s="155">
        <f>'Lpg (2)'!B14</f>
        <v>19</v>
      </c>
      <c r="K10" s="155">
        <f>'Lpg (2)'!C14</f>
        <v>85</v>
      </c>
      <c r="L10" s="155">
        <f>'Lpg (2)'!D14</f>
        <v>85</v>
      </c>
      <c r="M10" s="449">
        <f>'Lpg (2)'!G14</f>
        <v>59.972000000020493</v>
      </c>
      <c r="N10" s="152">
        <f t="shared" si="2"/>
        <v>3632.9999999999995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1210.9999999999998</v>
      </c>
      <c r="S10" s="451" t="e">
        <f t="shared" si="1"/>
        <v>#REF!</v>
      </c>
    </row>
    <row r="11" spans="1:19" ht="14.25" x14ac:dyDescent="0.2">
      <c r="A11" s="450">
        <f>Gen!B16</f>
        <v>44141</v>
      </c>
      <c r="B11" s="6">
        <f>'Summery Report'!E10</f>
        <v>6</v>
      </c>
      <c r="C11" s="6">
        <f>Gen!V16</f>
        <v>0.44646820027063594</v>
      </c>
      <c r="D11" s="153">
        <f>Gen!U16</f>
        <v>2217</v>
      </c>
      <c r="E11" s="153">
        <f>Gen!AL16</f>
        <v>0</v>
      </c>
      <c r="F11" s="153">
        <f>Gen!AT16</f>
        <v>0</v>
      </c>
      <c r="G11" s="154">
        <f>'Utility report '!AC11</f>
        <v>47</v>
      </c>
      <c r="H11" s="154">
        <f>'Utility report '!AE11</f>
        <v>45</v>
      </c>
      <c r="I11" s="297">
        <f>'Water-Meter'!E11</f>
        <v>62</v>
      </c>
      <c r="J11" s="155">
        <f>'Lpg (2)'!B15</f>
        <v>18</v>
      </c>
      <c r="K11" s="155">
        <f>'Lpg (2)'!C15</f>
        <v>85</v>
      </c>
      <c r="L11" s="155">
        <f>'Lpg (2)'!D15</f>
        <v>85</v>
      </c>
      <c r="M11" s="449">
        <f>'Lpg (2)'!G15</f>
        <v>52.97600000003586</v>
      </c>
      <c r="N11" s="152">
        <f t="shared" si="2"/>
        <v>3103.7999999999997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517.29999999999995</v>
      </c>
      <c r="S11" s="451" t="e">
        <f t="shared" si="1"/>
        <v>#REF!</v>
      </c>
    </row>
    <row r="12" spans="1:19" ht="14.25" x14ac:dyDescent="0.2">
      <c r="A12" s="450">
        <f>Gen!B17</f>
        <v>44142</v>
      </c>
      <c r="B12" s="6">
        <f>'Summery Report'!E11</f>
        <v>5</v>
      </c>
      <c r="C12" s="6">
        <f>Gen!V17</f>
        <v>0.38424768051633723</v>
      </c>
      <c r="D12" s="153">
        <f>Gen!U17</f>
        <v>2479</v>
      </c>
      <c r="E12" s="153">
        <f>Gen!AL17</f>
        <v>0</v>
      </c>
      <c r="F12" s="153">
        <f>Gen!AT17</f>
        <v>0</v>
      </c>
      <c r="G12" s="154">
        <f>'Utility report '!AC12</f>
        <v>45</v>
      </c>
      <c r="H12" s="154">
        <f>'Utility report '!AE12</f>
        <v>46</v>
      </c>
      <c r="I12" s="297">
        <f>'Water-Meter'!E12</f>
        <v>83</v>
      </c>
      <c r="J12" s="155">
        <f>'Lpg (2)'!B16</f>
        <v>85</v>
      </c>
      <c r="K12" s="155">
        <f>'Lpg (2)'!C16</f>
        <v>85</v>
      </c>
      <c r="L12" s="155">
        <f>'Lpg (2)'!D16</f>
        <v>85</v>
      </c>
      <c r="M12" s="449">
        <f>'Lpg (2)'!G16</f>
        <v>75.679999999987203</v>
      </c>
      <c r="N12" s="152">
        <f t="shared" si="2"/>
        <v>3470.6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694.12</v>
      </c>
      <c r="S12" s="451" t="e">
        <f t="shared" si="1"/>
        <v>#REF!</v>
      </c>
    </row>
    <row r="13" spans="1:19" ht="14.25" x14ac:dyDescent="0.2">
      <c r="A13" s="450">
        <f>Gen!B18</f>
        <v>44143</v>
      </c>
      <c r="B13" s="6">
        <f>'Summery Report'!E12</f>
        <v>1</v>
      </c>
      <c r="C13" s="6">
        <f>Gen!V18</f>
        <v>0.4376591200341734</v>
      </c>
      <c r="D13" s="153">
        <f>Gen!U18</f>
        <v>2341</v>
      </c>
      <c r="E13" s="153">
        <f>Gen!AL18</f>
        <v>0</v>
      </c>
      <c r="F13" s="153">
        <f>Gen!AT18</f>
        <v>0</v>
      </c>
      <c r="G13" s="154">
        <f>'Utility report '!AC13</f>
        <v>51</v>
      </c>
      <c r="H13" s="154">
        <f>'Utility report '!AE13</f>
        <v>46</v>
      </c>
      <c r="I13" s="297">
        <f>'Water-Meter'!E13</f>
        <v>63</v>
      </c>
      <c r="J13" s="155">
        <f>'Lpg (2)'!B17</f>
        <v>85</v>
      </c>
      <c r="K13" s="155">
        <f>'Lpg (2)'!C17</f>
        <v>83</v>
      </c>
      <c r="L13" s="155">
        <f>'Lpg (2)'!D17</f>
        <v>85</v>
      </c>
      <c r="M13" s="449">
        <f>'Lpg (2)'!G17</f>
        <v>51.7</v>
      </c>
      <c r="N13" s="152">
        <f t="shared" si="2"/>
        <v>3277.3999999999996</v>
      </c>
      <c r="O13" s="152">
        <f t="shared" si="2"/>
        <v>0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3277.3999999999996</v>
      </c>
      <c r="S13" s="451" t="e">
        <f t="shared" si="1"/>
        <v>#REF!</v>
      </c>
    </row>
    <row r="14" spans="1:19" ht="14.25" x14ac:dyDescent="0.2">
      <c r="A14" s="450">
        <f>Gen!B19</f>
        <v>44144</v>
      </c>
      <c r="B14" s="6">
        <f>'Summery Report'!E13</f>
        <v>2</v>
      </c>
      <c r="C14" s="6">
        <f>Gen!V19</f>
        <v>0.44400423728813554</v>
      </c>
      <c r="D14" s="153">
        <f>Gen!U19</f>
        <v>2360</v>
      </c>
      <c r="E14" s="153">
        <f>Gen!AL19</f>
        <v>0</v>
      </c>
      <c r="F14" s="153">
        <f>Gen!AT19</f>
        <v>0</v>
      </c>
      <c r="G14" s="154">
        <f>'Utility report '!AC14</f>
        <v>47</v>
      </c>
      <c r="H14" s="154">
        <f>'Utility report '!AE14</f>
        <v>41</v>
      </c>
      <c r="I14" s="297">
        <f>'Water-Meter'!E14</f>
        <v>46</v>
      </c>
      <c r="J14" s="155">
        <f>'Lpg (2)'!B18</f>
        <v>85</v>
      </c>
      <c r="K14" s="155">
        <f>'Lpg (2)'!C18</f>
        <v>82</v>
      </c>
      <c r="L14" s="155">
        <f>'Lpg (2)'!D18</f>
        <v>85</v>
      </c>
      <c r="M14" s="449">
        <f>'Lpg (2)'!G18</f>
        <v>53.591999999969268</v>
      </c>
      <c r="N14" s="152">
        <f t="shared" si="2"/>
        <v>3304</v>
      </c>
      <c r="O14" s="152">
        <f t="shared" si="2"/>
        <v>0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1652</v>
      </c>
      <c r="S14" s="451" t="e">
        <f t="shared" si="1"/>
        <v>#REF!</v>
      </c>
    </row>
    <row r="15" spans="1:19" ht="14.25" x14ac:dyDescent="0.2">
      <c r="A15" s="450">
        <f>Gen!B20</f>
        <v>44145</v>
      </c>
      <c r="B15" s="6">
        <f>'Summery Report'!E14</f>
        <v>4</v>
      </c>
      <c r="C15" s="6">
        <f>Gen!V20</f>
        <v>0.40174343521308653</v>
      </c>
      <c r="D15" s="153">
        <f>Gen!U20</f>
        <v>2323</v>
      </c>
      <c r="E15" s="153">
        <f>Gen!AL20</f>
        <v>0</v>
      </c>
      <c r="F15" s="153">
        <f>Gen!AT20</f>
        <v>0</v>
      </c>
      <c r="G15" s="154">
        <f>'Utility report '!AC15</f>
        <v>49</v>
      </c>
      <c r="H15" s="154">
        <f>'Utility report '!AE15</f>
        <v>44</v>
      </c>
      <c r="I15" s="297">
        <f>'Water-Meter'!E15</f>
        <v>53</v>
      </c>
      <c r="J15" s="155">
        <f>'Lpg (2)'!B19</f>
        <v>85</v>
      </c>
      <c r="K15" s="155">
        <f>'Lpg (2)'!C19</f>
        <v>80</v>
      </c>
      <c r="L15" s="155">
        <f>'Lpg (2)'!D19</f>
        <v>85</v>
      </c>
      <c r="M15" s="449">
        <f>'Lpg (2)'!G19</f>
        <v>23.540000000025614</v>
      </c>
      <c r="N15" s="152">
        <f t="shared" si="2"/>
        <v>3252.2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813.05</v>
      </c>
      <c r="S15" s="451" t="e">
        <f t="shared" si="1"/>
        <v>#REF!</v>
      </c>
    </row>
    <row r="16" spans="1:19" ht="14.25" x14ac:dyDescent="0.2">
      <c r="A16" s="450">
        <f>Gen!B21</f>
        <v>44146</v>
      </c>
      <c r="B16" s="6">
        <f>'Summery Report'!E15</f>
        <v>6</v>
      </c>
      <c r="C16" s="6">
        <f>Gen!V21</f>
        <v>0.41271572492334646</v>
      </c>
      <c r="D16" s="153">
        <f>Gen!U21</f>
        <v>2283</v>
      </c>
      <c r="E16" s="153">
        <f>Gen!AL21</f>
        <v>0</v>
      </c>
      <c r="F16" s="153">
        <f>Gen!AT21</f>
        <v>0</v>
      </c>
      <c r="G16" s="154">
        <f>'Utility report '!AC16</f>
        <v>46</v>
      </c>
      <c r="H16" s="154">
        <f>'Utility report '!AE16</f>
        <v>44</v>
      </c>
      <c r="I16" s="297">
        <f>'Water-Meter'!E16</f>
        <v>63</v>
      </c>
      <c r="J16" s="155">
        <f>'Lpg (2)'!B20</f>
        <v>85</v>
      </c>
      <c r="K16" s="155">
        <f>'Lpg (2)'!C20</f>
        <v>72</v>
      </c>
      <c r="L16" s="155">
        <f>'Lpg (2)'!D20</f>
        <v>85</v>
      </c>
      <c r="M16" s="449">
        <f>'Lpg (2)'!G20</f>
        <v>75.327999999979511</v>
      </c>
      <c r="N16" s="152">
        <f t="shared" si="2"/>
        <v>3196.2</v>
      </c>
      <c r="O16" s="152">
        <f t="shared" si="2"/>
        <v>0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532.69999999999993</v>
      </c>
      <c r="S16" s="451" t="e">
        <f t="shared" si="1"/>
        <v>#REF!</v>
      </c>
    </row>
    <row r="17" spans="1:19" ht="14.25" x14ac:dyDescent="0.2">
      <c r="A17" s="450">
        <f>Gen!B22</f>
        <v>44147</v>
      </c>
      <c r="B17" s="6">
        <f>'Summery Report'!E16</f>
        <v>5</v>
      </c>
      <c r="C17" s="6">
        <f>Gen!V22</f>
        <v>0.46518900343642611</v>
      </c>
      <c r="D17" s="153">
        <f>Gen!U22</f>
        <v>2328</v>
      </c>
      <c r="E17" s="153">
        <f>Gen!AL22</f>
        <v>0</v>
      </c>
      <c r="F17" s="153">
        <f>Gen!AT22</f>
        <v>0</v>
      </c>
      <c r="G17" s="154">
        <f>'Utility report '!AC17</f>
        <v>43</v>
      </c>
      <c r="H17" s="154">
        <f>'Utility report '!AE17</f>
        <v>43</v>
      </c>
      <c r="I17" s="297">
        <f>'Water-Meter'!E17</f>
        <v>48</v>
      </c>
      <c r="J17" s="155">
        <f>'Lpg (2)'!B21</f>
        <v>85</v>
      </c>
      <c r="K17" s="155">
        <f>'Lpg (2)'!C22</f>
        <v>61</v>
      </c>
      <c r="L17" s="155">
        <f>'Lpg (2)'!D21</f>
        <v>85</v>
      </c>
      <c r="M17" s="449">
        <f>'Lpg (2)'!G21</f>
        <v>54.163999999989763</v>
      </c>
      <c r="N17" s="152">
        <f t="shared" si="2"/>
        <v>3259.2</v>
      </c>
      <c r="O17" s="152">
        <f t="shared" si="2"/>
        <v>0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651.83999999999992</v>
      </c>
      <c r="S17" s="451" t="e">
        <f t="shared" si="1"/>
        <v>#REF!</v>
      </c>
    </row>
    <row r="18" spans="1:19" ht="14.25" x14ac:dyDescent="0.2">
      <c r="A18" s="450">
        <f>Gen!B23</f>
        <v>44148</v>
      </c>
      <c r="B18" s="6">
        <f>'Summery Report'!E17</f>
        <v>7</v>
      </c>
      <c r="C18" s="6">
        <f>Gen!V23</f>
        <v>0.40613463166807789</v>
      </c>
      <c r="D18" s="153">
        <f>Gen!U23</f>
        <v>2362</v>
      </c>
      <c r="E18" s="153">
        <f>Gen!AL23</f>
        <v>0</v>
      </c>
      <c r="F18" s="153">
        <f>Gen!AT23</f>
        <v>0</v>
      </c>
      <c r="G18" s="154">
        <f>'Utility report '!AC18</f>
        <v>42</v>
      </c>
      <c r="H18" s="154">
        <f>'Utility report '!AE18</f>
        <v>41</v>
      </c>
      <c r="I18" s="297">
        <f>'Water-Meter'!E18</f>
        <v>62</v>
      </c>
      <c r="J18" s="155">
        <f>'Lpg (2)'!B22</f>
        <v>85</v>
      </c>
      <c r="K18" s="155">
        <f>'Lpg (2)'!C23</f>
        <v>57</v>
      </c>
      <c r="L18" s="155">
        <f>'Lpg (2)'!D22</f>
        <v>85</v>
      </c>
      <c r="M18" s="449">
        <f>'Lpg (2)'!G22</f>
        <v>68.508000000030734</v>
      </c>
      <c r="N18" s="152">
        <f t="shared" si="2"/>
        <v>3306.7999999999997</v>
      </c>
      <c r="O18" s="152">
        <f t="shared" si="2"/>
        <v>0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472.4</v>
      </c>
      <c r="S18" s="451" t="e">
        <f t="shared" si="1"/>
        <v>#REF!</v>
      </c>
    </row>
    <row r="19" spans="1:19" ht="14.25" x14ac:dyDescent="0.2">
      <c r="A19" s="450">
        <f>Gen!B24</f>
        <v>44149</v>
      </c>
      <c r="B19" s="6">
        <f>'Summery Report'!E18</f>
        <v>15</v>
      </c>
      <c r="C19" s="6">
        <f>Gen!V24</f>
        <v>0.40457563025210086</v>
      </c>
      <c r="D19" s="153">
        <f>Gen!U24</f>
        <v>2380</v>
      </c>
      <c r="E19" s="153">
        <f>Gen!AL24</f>
        <v>0</v>
      </c>
      <c r="F19" s="153">
        <f>Gen!AT24</f>
        <v>0</v>
      </c>
      <c r="G19" s="154">
        <f>'Utility report '!AC19</f>
        <v>42</v>
      </c>
      <c r="H19" s="154">
        <f>'Utility report '!AE19</f>
        <v>45</v>
      </c>
      <c r="I19" s="297">
        <f>'Water-Meter'!E19</f>
        <v>52</v>
      </c>
      <c r="J19" s="155">
        <f>'Lpg (2)'!B23</f>
        <v>85</v>
      </c>
      <c r="K19" s="155">
        <f>'Lpg (2)'!C24</f>
        <v>53</v>
      </c>
      <c r="L19" s="155">
        <f>'Lpg (2)'!D23</f>
        <v>85</v>
      </c>
      <c r="M19" s="449">
        <f>'Lpg (2)'!G23</f>
        <v>69.343999999976958</v>
      </c>
      <c r="N19" s="152">
        <f t="shared" si="2"/>
        <v>3332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222.13333333333333</v>
      </c>
      <c r="S19" s="451" t="e">
        <f t="shared" si="1"/>
        <v>#REF!</v>
      </c>
    </row>
    <row r="20" spans="1:19" ht="14.25" x14ac:dyDescent="0.2">
      <c r="A20" s="450">
        <f>Gen!B25</f>
        <v>44150</v>
      </c>
      <c r="B20" s="6">
        <f>'Summery Report'!E19</f>
        <v>13</v>
      </c>
      <c r="C20" s="6">
        <f>Gen!V25</f>
        <v>0.4514634146341463</v>
      </c>
      <c r="D20" s="153">
        <f>Gen!U25</f>
        <v>2337</v>
      </c>
      <c r="E20" s="153">
        <f>Gen!AL25</f>
        <v>0</v>
      </c>
      <c r="F20" s="153">
        <f>Gen!AT25</f>
        <v>0</v>
      </c>
      <c r="G20" s="154">
        <f>'Utility report '!AC20</f>
        <v>39</v>
      </c>
      <c r="H20" s="154">
        <f>'Utility report '!AE20</f>
        <v>43</v>
      </c>
      <c r="I20" s="297">
        <f>'Water-Meter'!E20</f>
        <v>78</v>
      </c>
      <c r="J20" s="155">
        <f>'Lpg (2)'!B24</f>
        <v>85</v>
      </c>
      <c r="K20" s="155">
        <f>'Lpg (2)'!C25</f>
        <v>45</v>
      </c>
      <c r="L20" s="155">
        <f>'Lpg (2)'!D24</f>
        <v>85</v>
      </c>
      <c r="M20" s="449">
        <f>'Lpg (2)'!G24</f>
        <v>95.392000000033306</v>
      </c>
      <c r="N20" s="152">
        <f t="shared" si="2"/>
        <v>3271.7999999999997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>
        <f t="shared" si="0"/>
        <v>251.67692307692306</v>
      </c>
      <c r="S20" s="451" t="e">
        <f t="shared" si="1"/>
        <v>#REF!</v>
      </c>
    </row>
    <row r="21" spans="1:19" ht="14.25" x14ac:dyDescent="0.2">
      <c r="A21" s="450">
        <f>Gen!B26</f>
        <v>44151</v>
      </c>
      <c r="B21" s="6">
        <f>'Summery Report'!E20</f>
        <v>12</v>
      </c>
      <c r="C21" s="6">
        <f>Gen!V26</f>
        <v>0.45771880064829823</v>
      </c>
      <c r="D21" s="153">
        <f>Gen!U26</f>
        <v>2468</v>
      </c>
      <c r="E21" s="153">
        <f>Gen!AL26</f>
        <v>0</v>
      </c>
      <c r="F21" s="153">
        <f>Gen!AT26</f>
        <v>0</v>
      </c>
      <c r="G21" s="154">
        <f>'Utility report '!AC21</f>
        <v>37</v>
      </c>
      <c r="H21" s="154">
        <f>'Utility report '!AE21</f>
        <v>52</v>
      </c>
      <c r="I21" s="297">
        <f>'Water-Meter'!E21</f>
        <v>52</v>
      </c>
      <c r="J21" s="155">
        <f>'Lpg (2)'!B25</f>
        <v>85</v>
      </c>
      <c r="K21" s="155">
        <f>'Lpg (2)'!C25</f>
        <v>45</v>
      </c>
      <c r="L21" s="155">
        <f>'Lpg (2)'!D25</f>
        <v>85</v>
      </c>
      <c r="M21" s="449">
        <f>'Lpg (2)'!G25</f>
        <v>82.763999999989764</v>
      </c>
      <c r="N21" s="152">
        <f t="shared" si="2"/>
        <v>3455.2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>
        <f t="shared" si="0"/>
        <v>287.93333333333334</v>
      </c>
      <c r="S21" s="451" t="e">
        <f t="shared" si="1"/>
        <v>#REF!</v>
      </c>
    </row>
    <row r="22" spans="1:19" ht="14.25" x14ac:dyDescent="0.2">
      <c r="A22" s="450">
        <f>Gen!B27</f>
        <v>44152</v>
      </c>
      <c r="B22" s="6">
        <f>'Summery Report'!E21</f>
        <v>0</v>
      </c>
      <c r="C22" s="6">
        <f>Gen!V27</f>
        <v>0.40996469549867609</v>
      </c>
      <c r="D22" s="153">
        <f>Gen!U27</f>
        <v>2266</v>
      </c>
      <c r="E22" s="153">
        <f>Gen!AL27</f>
        <v>0</v>
      </c>
      <c r="F22" s="153">
        <f>Gen!AT27</f>
        <v>0</v>
      </c>
      <c r="G22" s="154">
        <f>'Utility report '!AC22</f>
        <v>32</v>
      </c>
      <c r="H22" s="154">
        <f>'Utility report '!AE22</f>
        <v>10</v>
      </c>
      <c r="I22" s="297">
        <f>'Water-Meter'!E22</f>
        <v>53</v>
      </c>
      <c r="J22" s="155">
        <f>'Lpg (2)'!B26</f>
        <v>85</v>
      </c>
      <c r="K22" s="155">
        <f>'Lpg (2)'!C26</f>
        <v>42</v>
      </c>
      <c r="L22" s="155">
        <f>'Lpg (2)'!D26</f>
        <v>85</v>
      </c>
      <c r="M22" s="449">
        <f>'Lpg (2)'!G26</f>
        <v>77.572000000020495</v>
      </c>
      <c r="N22" s="152">
        <f t="shared" si="2"/>
        <v>3172.3999999999996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51" t="e">
        <f t="shared" si="1"/>
        <v>#REF!</v>
      </c>
    </row>
    <row r="23" spans="1:19" ht="14.25" x14ac:dyDescent="0.2">
      <c r="A23" s="450">
        <f>Gen!B28</f>
        <v>44153</v>
      </c>
      <c r="B23" s="6">
        <f>'Summery Report'!E22</f>
        <v>0</v>
      </c>
      <c r="C23" s="6">
        <f>Gen!V28</f>
        <v>0.41586321934945786</v>
      </c>
      <c r="D23" s="153">
        <f>Gen!U28</f>
        <v>2398</v>
      </c>
      <c r="E23" s="153">
        <f>Gen!AL28</f>
        <v>0</v>
      </c>
      <c r="F23" s="153">
        <f>Gen!AT28</f>
        <v>0</v>
      </c>
      <c r="G23" s="154">
        <f>'Utility report '!AC23</f>
        <v>28</v>
      </c>
      <c r="H23" s="154">
        <f>'Utility report '!AE23</f>
        <v>13</v>
      </c>
      <c r="I23" s="297">
        <f>'Water-Meter'!E23</f>
        <v>51</v>
      </c>
      <c r="J23" s="155">
        <f>'Lpg (2)'!B27</f>
        <v>85</v>
      </c>
      <c r="K23" s="155">
        <f>'Lpg (2)'!C27</f>
        <v>35</v>
      </c>
      <c r="L23" s="155">
        <f>'Lpg (2)'!D27</f>
        <v>85</v>
      </c>
      <c r="M23" s="449">
        <f>'Lpg (2)'!G27</f>
        <v>75.283999999938544</v>
      </c>
      <c r="N23" s="152">
        <f t="shared" si="2"/>
        <v>3357.2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51" t="e">
        <f t="shared" si="1"/>
        <v>#REF!</v>
      </c>
    </row>
    <row r="24" spans="1:19" ht="14.25" x14ac:dyDescent="0.2">
      <c r="A24" s="450">
        <f>Gen!B29</f>
        <v>44154</v>
      </c>
      <c r="B24" s="6">
        <f>'Summery Report'!E23</f>
        <v>0</v>
      </c>
      <c r="C24" s="6">
        <f>Gen!V29</f>
        <v>0.40265558562040976</v>
      </c>
      <c r="D24" s="153">
        <f>Gen!U29</f>
        <v>2587</v>
      </c>
      <c r="E24" s="153">
        <f>Gen!AL29</f>
        <v>0</v>
      </c>
      <c r="F24" s="153">
        <f>Gen!AT29</f>
        <v>0</v>
      </c>
      <c r="G24" s="154">
        <f>'Utility report '!AC24</f>
        <v>25</v>
      </c>
      <c r="H24" s="154">
        <f>'Utility report '!AE24</f>
        <v>35</v>
      </c>
      <c r="I24" s="297">
        <f>'Water-Meter'!E24</f>
        <v>127</v>
      </c>
      <c r="J24" s="155">
        <f>'Lpg (2)'!B28</f>
        <v>85</v>
      </c>
      <c r="K24" s="155">
        <f>'Lpg (2)'!C28</f>
        <v>31</v>
      </c>
      <c r="L24" s="155">
        <f>'Lpg (2)'!D28</f>
        <v>85</v>
      </c>
      <c r="M24" s="449">
        <f>'Lpg (2)'!G28</f>
        <v>73.524000000028181</v>
      </c>
      <c r="N24" s="152">
        <f t="shared" si="2"/>
        <v>3621.7999999999997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51" t="e">
        <f t="shared" si="1"/>
        <v>#REF!</v>
      </c>
    </row>
    <row r="25" spans="1:19" ht="14.25" x14ac:dyDescent="0.2">
      <c r="A25" s="450">
        <f>Gen!B30</f>
        <v>44155</v>
      </c>
      <c r="B25" s="6">
        <f>'Summery Report'!E24</f>
        <v>0</v>
      </c>
      <c r="C25" s="6">
        <f>Gen!V30</f>
        <v>0.38775462962962964</v>
      </c>
      <c r="D25" s="153">
        <f>Gen!U30</f>
        <v>2592</v>
      </c>
      <c r="E25" s="153">
        <f>Gen!AL30</f>
        <v>0</v>
      </c>
      <c r="F25" s="153">
        <f>Gen!AT30</f>
        <v>0</v>
      </c>
      <c r="G25" s="154">
        <f>'Utility report '!AC25</f>
        <v>25</v>
      </c>
      <c r="H25" s="154">
        <f>'Utility report '!AE25</f>
        <v>37</v>
      </c>
      <c r="I25" s="297">
        <f>'Water-Meter'!E25</f>
        <v>46</v>
      </c>
      <c r="J25" s="155">
        <f>'Lpg (2)'!B29</f>
        <v>85</v>
      </c>
      <c r="K25" s="155">
        <f>'Lpg (2)'!C29</f>
        <v>25</v>
      </c>
      <c r="L25" s="155">
        <f>'Lpg (2)'!D29</f>
        <v>85</v>
      </c>
      <c r="M25" s="449">
        <f>'Lpg (2)'!G29</f>
        <v>99.175999999971836</v>
      </c>
      <c r="N25" s="152">
        <f t="shared" si="2"/>
        <v>3628.7999999999997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51" t="e">
        <f t="shared" si="1"/>
        <v>#REF!</v>
      </c>
    </row>
    <row r="26" spans="1:19" ht="14.25" x14ac:dyDescent="0.2">
      <c r="A26" s="450">
        <f>Gen!B31</f>
        <v>44156</v>
      </c>
      <c r="B26" s="6">
        <f>'Summery Report'!E25</f>
        <v>0</v>
      </c>
      <c r="C26" s="6">
        <f>Gen!V31</f>
        <v>0.41355780022446692</v>
      </c>
      <c r="D26" s="153">
        <f>Gen!U31</f>
        <v>2673</v>
      </c>
      <c r="E26" s="153">
        <f>Gen!AL31</f>
        <v>0</v>
      </c>
      <c r="F26" s="153">
        <f>Gen!AT31</f>
        <v>0</v>
      </c>
      <c r="G26" s="154">
        <f>'Utility report '!AC26</f>
        <v>23</v>
      </c>
      <c r="H26" s="154">
        <f>'Utility report '!AE26</f>
        <v>35</v>
      </c>
      <c r="I26" s="297">
        <f>'Water-Meter'!E26</f>
        <v>47</v>
      </c>
      <c r="J26" s="155">
        <f>'Lpg (2)'!B30</f>
        <v>85</v>
      </c>
      <c r="K26" s="155">
        <f>'Lpg (2)'!C30</f>
        <v>20</v>
      </c>
      <c r="L26" s="155">
        <f>'Lpg (2)'!D30</f>
        <v>85</v>
      </c>
      <c r="M26" s="449">
        <f>'Lpg (2)'!G30</f>
        <v>85.360000000038426</v>
      </c>
      <c r="N26" s="152">
        <f t="shared" si="2"/>
        <v>3742.2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51" t="e">
        <f t="shared" si="1"/>
        <v>#REF!</v>
      </c>
    </row>
    <row r="27" spans="1:19" ht="14.25" x14ac:dyDescent="0.2">
      <c r="A27" s="450">
        <f>Gen!B32</f>
        <v>44157</v>
      </c>
      <c r="B27" s="6">
        <f>'Summery Report'!E26</f>
        <v>0</v>
      </c>
      <c r="C27" s="6">
        <f>Gen!V32</f>
        <v>0.40388394584139264</v>
      </c>
      <c r="D27" s="153">
        <f>Gen!U32</f>
        <v>2585</v>
      </c>
      <c r="E27" s="153">
        <f>Gen!AL32</f>
        <v>0</v>
      </c>
      <c r="F27" s="153">
        <f>Gen!AT32</f>
        <v>0</v>
      </c>
      <c r="G27" s="154">
        <f>'Utility report '!AC27</f>
        <v>0</v>
      </c>
      <c r="H27" s="154">
        <f>'Utility report '!AE27</f>
        <v>35</v>
      </c>
      <c r="I27" s="297">
        <f>'Water-Meter'!E27</f>
        <v>51</v>
      </c>
      <c r="J27" s="155">
        <f>'Lpg (2)'!B31</f>
        <v>85</v>
      </c>
      <c r="K27" s="155">
        <f>'Lpg (2)'!C31</f>
        <v>15</v>
      </c>
      <c r="L27" s="155">
        <f>'Lpg (2)'!D31</f>
        <v>85</v>
      </c>
      <c r="M27" s="449">
        <f>'Lpg (2)'!G31</f>
        <v>86.547999999992328</v>
      </c>
      <c r="N27" s="152">
        <f t="shared" si="2"/>
        <v>3618.9999999999995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51" t="e">
        <f t="shared" si="1"/>
        <v>#REF!</v>
      </c>
    </row>
    <row r="28" spans="1:19" ht="14.25" x14ac:dyDescent="0.2">
      <c r="A28" s="450">
        <f>Gen!B33</f>
        <v>44158</v>
      </c>
      <c r="B28" s="6">
        <f>'Summery Report'!E27</f>
        <v>0</v>
      </c>
      <c r="C28" s="6">
        <f>Gen!V33</f>
        <v>0.41547738693467334</v>
      </c>
      <c r="D28" s="153">
        <f>Gen!U33</f>
        <v>2587</v>
      </c>
      <c r="E28" s="153">
        <f>Gen!AL33</f>
        <v>0</v>
      </c>
      <c r="F28" s="153">
        <f>Gen!AT33</f>
        <v>0</v>
      </c>
      <c r="G28" s="154">
        <f>'Utility report '!AC28</f>
        <v>24</v>
      </c>
      <c r="H28" s="154">
        <f>'Utility report '!AE28</f>
        <v>36</v>
      </c>
      <c r="I28" s="297">
        <f>'Water-Meter'!E28</f>
        <v>61</v>
      </c>
      <c r="J28" s="155">
        <f>'Lpg (2)'!B32</f>
        <v>85</v>
      </c>
      <c r="K28" s="155">
        <f>'Lpg (2)'!C32</f>
        <v>11</v>
      </c>
      <c r="L28" s="155">
        <f>'Lpg (2)'!D32</f>
        <v>85</v>
      </c>
      <c r="M28" s="449">
        <f>'Lpg (2)'!G32</f>
        <v>65.73600000001025</v>
      </c>
      <c r="N28" s="152">
        <f t="shared" si="2"/>
        <v>3621.7999999999997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51" t="e">
        <f t="shared" si="1"/>
        <v>#REF!</v>
      </c>
    </row>
    <row r="29" spans="1:19" ht="14.25" x14ac:dyDescent="0.2">
      <c r="A29" s="450">
        <f>Gen!B34</f>
        <v>44159</v>
      </c>
      <c r="B29" s="6">
        <f>'Summery Report'!E28</f>
        <v>0</v>
      </c>
      <c r="C29" s="6">
        <f>Gen!V34</f>
        <v>0.42898569023569022</v>
      </c>
      <c r="D29" s="153">
        <f>Gen!U34</f>
        <v>2376</v>
      </c>
      <c r="E29" s="153">
        <f>Gen!AL34</f>
        <v>0</v>
      </c>
      <c r="F29" s="153">
        <f>Gen!AT34</f>
        <v>0</v>
      </c>
      <c r="G29" s="154">
        <f>'Utility report '!AC29</f>
        <v>35</v>
      </c>
      <c r="H29" s="154">
        <f>'Utility report '!AE29</f>
        <v>35</v>
      </c>
      <c r="I29" s="297">
        <f>'Water-Meter'!E29</f>
        <v>49</v>
      </c>
      <c r="J29" s="155">
        <f>'Lpg (2)'!B33</f>
        <v>85</v>
      </c>
      <c r="K29" s="155">
        <f>'Lpg (2)'!C33</f>
        <v>9</v>
      </c>
      <c r="L29" s="155">
        <f>'Lpg (2)'!D33</f>
        <v>85</v>
      </c>
      <c r="M29" s="449">
        <f>'Lpg (2)'!G33</f>
        <v>64.107999999966708</v>
      </c>
      <c r="N29" s="152">
        <f t="shared" si="2"/>
        <v>3326.3999999999996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51" t="e">
        <f t="shared" si="1"/>
        <v>#REF!</v>
      </c>
    </row>
    <row r="30" spans="1:19" ht="14.25" x14ac:dyDescent="0.2">
      <c r="A30" s="450">
        <f>Gen!B35</f>
        <v>44160</v>
      </c>
      <c r="B30" s="6">
        <f>'Summery Report'!E29</f>
        <v>0</v>
      </c>
      <c r="C30" s="6">
        <f>Gen!V35</f>
        <v>0.43357838795394155</v>
      </c>
      <c r="D30" s="153">
        <f>Gen!U35</f>
        <v>2258</v>
      </c>
      <c r="E30" s="153">
        <f>Gen!AL35</f>
        <v>0</v>
      </c>
      <c r="F30" s="153">
        <f>Gen!AT35</f>
        <v>0</v>
      </c>
      <c r="G30" s="154">
        <f>'Utility report '!AC30</f>
        <v>39</v>
      </c>
      <c r="H30" s="154">
        <f>'Utility report '!AE30</f>
        <v>33</v>
      </c>
      <c r="I30" s="297">
        <f>'Water-Meter'!E30</f>
        <v>50</v>
      </c>
      <c r="J30" s="155">
        <f>'Lpg (2)'!B34</f>
        <v>85</v>
      </c>
      <c r="K30" s="155">
        <f>'Lpg (2)'!C34</f>
        <v>5</v>
      </c>
      <c r="L30" s="155">
        <f>'Lpg (2)'!D34</f>
        <v>85</v>
      </c>
      <c r="M30" s="449">
        <f>'Lpg (2)'!G34</f>
        <v>80.344000000040978</v>
      </c>
      <c r="N30" s="152">
        <f t="shared" si="2"/>
        <v>3161.2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51" t="e">
        <f t="shared" si="1"/>
        <v>#REF!</v>
      </c>
    </row>
    <row r="31" spans="1:19" ht="14.25" x14ac:dyDescent="0.2">
      <c r="A31" s="450">
        <f>Gen!B36</f>
        <v>44161</v>
      </c>
      <c r="B31" s="6">
        <f>'Summery Report'!E30</f>
        <v>0</v>
      </c>
      <c r="C31" s="6">
        <f>Gen!V36</f>
        <v>0.4116008869179601</v>
      </c>
      <c r="D31" s="153">
        <f>Gen!U36</f>
        <v>2255</v>
      </c>
      <c r="E31" s="153">
        <f>Gen!AL36</f>
        <v>0</v>
      </c>
      <c r="F31" s="153">
        <f>Gen!AT36</f>
        <v>0</v>
      </c>
      <c r="G31" s="154">
        <f>'Utility report '!AC31</f>
        <v>46</v>
      </c>
      <c r="H31" s="154">
        <f>'Utility report '!AE31</f>
        <v>35</v>
      </c>
      <c r="I31" s="297">
        <f>'Water-Meter'!E31</f>
        <v>56</v>
      </c>
      <c r="J31" s="155">
        <f>'Lpg (2)'!B35</f>
        <v>85</v>
      </c>
      <c r="K31" s="155">
        <f>'Lpg (2)'!C35</f>
        <v>3</v>
      </c>
      <c r="L31" s="155">
        <f>'Lpg (2)'!D35</f>
        <v>85</v>
      </c>
      <c r="M31" s="449">
        <f>'Lpg (2)'!G35</f>
        <v>78.71599999999745</v>
      </c>
      <c r="N31" s="152">
        <f t="shared" si="2"/>
        <v>3157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51" t="e">
        <f t="shared" si="1"/>
        <v>#REF!</v>
      </c>
    </row>
    <row r="32" spans="1:19" ht="14.25" x14ac:dyDescent="0.2">
      <c r="A32" s="450">
        <f>Gen!B37</f>
        <v>44162</v>
      </c>
      <c r="B32" s="6">
        <f>'Summery Report'!E31</f>
        <v>0</v>
      </c>
      <c r="C32" s="6">
        <f>Gen!V37</f>
        <v>0.42654697286012527</v>
      </c>
      <c r="D32" s="153">
        <f>Gen!U37</f>
        <v>2395</v>
      </c>
      <c r="E32" s="153">
        <f>Gen!AL37</f>
        <v>0</v>
      </c>
      <c r="F32" s="153">
        <f>Gen!AT37</f>
        <v>0</v>
      </c>
      <c r="G32" s="154">
        <f>'Utility report '!AC32</f>
        <v>46</v>
      </c>
      <c r="H32" s="154">
        <f>'Utility report '!AE32</f>
        <v>32</v>
      </c>
      <c r="I32" s="297">
        <f>'Water-Meter'!E32</f>
        <v>47</v>
      </c>
      <c r="J32" s="155">
        <f>'Lpg (2)'!B36</f>
        <v>85</v>
      </c>
      <c r="K32" s="155">
        <f>'Lpg (2)'!C36</f>
        <v>2</v>
      </c>
      <c r="L32" s="155">
        <f>'Lpg (2)'!D36</f>
        <v>85</v>
      </c>
      <c r="M32" s="449">
        <f>'Lpg (2)'!G36</f>
        <v>42.371999999956465</v>
      </c>
      <c r="N32" s="152">
        <f t="shared" si="2"/>
        <v>3353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51" t="e">
        <f t="shared" si="1"/>
        <v>#REF!</v>
      </c>
    </row>
    <row r="33" spans="1:19" ht="14.25" x14ac:dyDescent="0.2">
      <c r="A33" s="450">
        <f>Gen!B38</f>
        <v>44163</v>
      </c>
      <c r="B33" s="6">
        <f>'Summery Report'!E32</f>
        <v>0</v>
      </c>
      <c r="C33" s="6" t="e">
        <f>Gen!V38</f>
        <v>#DIV/0!</v>
      </c>
      <c r="D33" s="153">
        <f>Gen!U38</f>
        <v>0</v>
      </c>
      <c r="E33" s="153">
        <f>Gen!AL38</f>
        <v>0</v>
      </c>
      <c r="F33" s="153">
        <f>Gen!AT38</f>
        <v>0</v>
      </c>
      <c r="G33" s="154">
        <f>'Utility report '!AC33</f>
        <v>44</v>
      </c>
      <c r="H33" s="154">
        <f>'Utility report '!AE33</f>
        <v>33</v>
      </c>
      <c r="I33" s="297">
        <f>'Water-Meter'!E33</f>
        <v>45</v>
      </c>
      <c r="J33" s="155">
        <f>'Lpg (2)'!B37</f>
        <v>85</v>
      </c>
      <c r="K33" s="155">
        <f>'Lpg (2)'!C37</f>
        <v>1</v>
      </c>
      <c r="L33" s="155">
        <f>'Lpg (2)'!D37</f>
        <v>85</v>
      </c>
      <c r="M33" s="449">
        <f>'Lpg (2)'!G37</f>
        <v>67.71599999999745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51" t="e">
        <f t="shared" si="1"/>
        <v>#REF!</v>
      </c>
    </row>
    <row r="34" spans="1:19" ht="14.25" x14ac:dyDescent="0.2">
      <c r="A34" s="450">
        <f>Gen!B39</f>
        <v>44164</v>
      </c>
      <c r="B34" s="6">
        <f>'Summery Report'!E33</f>
        <v>0</v>
      </c>
      <c r="C34" s="6">
        <f>Gen!V39</f>
        <v>0.42375000000000002</v>
      </c>
      <c r="D34" s="153">
        <f>Gen!U39</f>
        <v>2264</v>
      </c>
      <c r="E34" s="153">
        <f>Gen!AL39</f>
        <v>0</v>
      </c>
      <c r="F34" s="153">
        <f>Gen!AT39</f>
        <v>0</v>
      </c>
      <c r="G34" s="154">
        <f>'Utility report '!AC34</f>
        <v>44</v>
      </c>
      <c r="H34" s="154">
        <f>'Utility report '!AE34</f>
        <v>37</v>
      </c>
      <c r="I34" s="297">
        <f>'Water-Meter'!E34</f>
        <v>62</v>
      </c>
      <c r="J34" s="155">
        <f>'Lpg (2)'!B38</f>
        <v>85</v>
      </c>
      <c r="K34" s="155">
        <f>'Lpg (2)'!C38</f>
        <v>0</v>
      </c>
      <c r="L34" s="155">
        <f>'Lpg (2)'!D38</f>
        <v>85</v>
      </c>
      <c r="M34" s="449">
        <f>'Lpg (2)'!G38</f>
        <v>28.996000000048664</v>
      </c>
      <c r="N34" s="152">
        <f t="shared" si="2"/>
        <v>3169.6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51" t="e">
        <f t="shared" si="1"/>
        <v>#REF!</v>
      </c>
    </row>
    <row r="35" spans="1:19" ht="14.25" x14ac:dyDescent="0.2">
      <c r="A35" s="450">
        <f>Gen!B40</f>
        <v>44165</v>
      </c>
      <c r="B35" s="6">
        <f>'Summery Report'!E34</f>
        <v>0</v>
      </c>
      <c r="C35" s="6" t="e">
        <f>Gen!V40</f>
        <v>#DIV/0!</v>
      </c>
      <c r="D35" s="153">
        <f>Gen!U40</f>
        <v>0</v>
      </c>
      <c r="E35" s="153">
        <f>Gen!AL40</f>
        <v>0</v>
      </c>
      <c r="F35" s="153">
        <f>Gen!AT40</f>
        <v>0</v>
      </c>
      <c r="G35" s="154">
        <f>'Utility report '!AC35</f>
        <v>41</v>
      </c>
      <c r="H35" s="154">
        <f>'Utility report '!AE35</f>
        <v>34</v>
      </c>
      <c r="I35" s="297">
        <f>'Water-Meter'!E35</f>
        <v>46</v>
      </c>
      <c r="J35" s="155">
        <f>'Lpg (2)'!B39</f>
        <v>85</v>
      </c>
      <c r="K35" s="155">
        <f>'Lpg (2)'!C39</f>
        <v>0</v>
      </c>
      <c r="L35" s="155">
        <f>'Lpg (2)'!D39</f>
        <v>84</v>
      </c>
      <c r="M35" s="449">
        <f>'Lpg (2)'!G39</f>
        <v>67.847999999992325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51" t="e">
        <f t="shared" si="1"/>
        <v>#REF!</v>
      </c>
    </row>
    <row r="36" spans="1:19" ht="14.25" x14ac:dyDescent="0.2">
      <c r="A36" s="450">
        <f>Gen!B41</f>
        <v>44166</v>
      </c>
      <c r="B36" s="6">
        <f>'Summery Report'!E35</f>
        <v>0</v>
      </c>
      <c r="C36" s="6" t="e">
        <f>Gen!V41</f>
        <v>#DIV/0!</v>
      </c>
      <c r="D36" s="153">
        <f>Gen!U41</f>
        <v>0</v>
      </c>
      <c r="E36" s="153">
        <f>Gen!AL41</f>
        <v>0</v>
      </c>
      <c r="F36" s="153">
        <f>Gen!AT41</f>
        <v>0</v>
      </c>
      <c r="G36" s="154">
        <f>'Utility report '!AC36</f>
        <v>-41932</v>
      </c>
      <c r="H36" s="154">
        <f>'Utility report '!AE36</f>
        <v>-207823</v>
      </c>
      <c r="I36" s="297" t="str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49">
        <f>'Lpg (2)'!G40</f>
        <v>-323055.43600000005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51" t="e">
        <f t="shared" si="1"/>
        <v>#REF!</v>
      </c>
    </row>
    <row r="37" spans="1:19" ht="14.25" x14ac:dyDescent="0.2">
      <c r="A37" s="450">
        <f>Gen!B42</f>
        <v>0</v>
      </c>
      <c r="B37" s="6">
        <f>'Summery Report'!E36</f>
        <v>0</v>
      </c>
      <c r="C37" s="6">
        <f>Gen!V42</f>
        <v>0</v>
      </c>
      <c r="D37" s="153">
        <f>Gen!U42</f>
        <v>0</v>
      </c>
      <c r="E37" s="153">
        <f>Gen!AL42</f>
        <v>0</v>
      </c>
      <c r="F37" s="153">
        <f>Gen!AT42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4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51" t="e">
        <f t="shared" si="1"/>
        <v>#REF!</v>
      </c>
    </row>
    <row r="38" spans="1:19" ht="14.25" x14ac:dyDescent="0.2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 x14ac:dyDescent="0.25">
      <c r="A39" s="55" t="s">
        <v>13</v>
      </c>
      <c r="B39" s="453">
        <f>SUM(B7:B37)</f>
        <v>97</v>
      </c>
      <c r="C39" s="453" t="e">
        <f>SUM(C7:C35)</f>
        <v>#DIV/0!</v>
      </c>
      <c r="D39" s="453">
        <f>SUM(D7:D35)</f>
        <v>65573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1126</v>
      </c>
      <c r="H39" s="453">
        <f t="shared" si="3"/>
        <v>1073</v>
      </c>
      <c r="I39" s="453">
        <f t="shared" si="3"/>
        <v>1690</v>
      </c>
      <c r="J39" s="453">
        <f t="shared" si="3"/>
        <v>2144</v>
      </c>
      <c r="K39" s="453">
        <f t="shared" si="3"/>
        <v>1287</v>
      </c>
      <c r="L39" s="453">
        <f t="shared" si="3"/>
        <v>2464</v>
      </c>
      <c r="M39" s="453">
        <f t="shared" si="3"/>
        <v>1921.6560000000229</v>
      </c>
      <c r="N39" s="453">
        <f t="shared" si="3"/>
        <v>91802.2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 x14ac:dyDescent="0.2">
      <c r="I42" s="520"/>
    </row>
    <row r="43" spans="1:19" x14ac:dyDescent="0.2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AD36" sqref="AD36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 x14ac:dyDescent="0.25">
      <c r="A1" s="873" t="s">
        <v>321</v>
      </c>
      <c r="B1" s="874"/>
      <c r="C1" s="874"/>
      <c r="D1" s="874"/>
      <c r="E1" s="874"/>
      <c r="F1" s="874"/>
      <c r="G1" s="874"/>
      <c r="H1" s="874"/>
      <c r="I1" s="874"/>
      <c r="J1" s="875"/>
      <c r="K1" s="875"/>
      <c r="L1" s="875"/>
      <c r="M1" s="875"/>
      <c r="N1" s="875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6"/>
    </row>
    <row r="2" spans="1:37" ht="61.5" customHeight="1" thickBot="1" x14ac:dyDescent="0.25">
      <c r="A2" s="138" t="s">
        <v>98</v>
      </c>
      <c r="B2" s="877" t="s">
        <v>99</v>
      </c>
      <c r="C2" s="878"/>
      <c r="D2" s="879"/>
      <c r="E2" s="139"/>
      <c r="F2" s="139"/>
      <c r="G2" s="139"/>
      <c r="H2" s="136" t="s">
        <v>124</v>
      </c>
      <c r="I2" s="755" t="s">
        <v>100</v>
      </c>
      <c r="J2" s="757" t="s">
        <v>122</v>
      </c>
      <c r="K2" s="758"/>
      <c r="L2" s="759" t="s">
        <v>123</v>
      </c>
      <c r="M2" s="621" t="s">
        <v>101</v>
      </c>
      <c r="N2" s="285" t="s">
        <v>102</v>
      </c>
      <c r="O2" s="866" t="s">
        <v>103</v>
      </c>
      <c r="P2" s="866"/>
      <c r="Q2" s="866"/>
      <c r="R2" s="866"/>
      <c r="S2" s="866"/>
      <c r="T2" s="866"/>
      <c r="U2" s="866"/>
      <c r="V2" s="866"/>
      <c r="W2" s="866"/>
      <c r="X2" s="866"/>
      <c r="Y2" s="866"/>
      <c r="Z2" s="866"/>
      <c r="AA2" s="285" t="s">
        <v>104</v>
      </c>
      <c r="AB2" s="877" t="s">
        <v>164</v>
      </c>
      <c r="AC2" s="879"/>
      <c r="AD2" s="135">
        <v>0</v>
      </c>
      <c r="AE2" s="399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 x14ac:dyDescent="0.3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80">
        <f>SUM(D3/B3)</f>
        <v>1.3262195121951219</v>
      </c>
      <c r="G3" s="881"/>
      <c r="H3" s="128">
        <f>Gen!D11</f>
        <v>32519.1</v>
      </c>
      <c r="I3" s="622"/>
      <c r="J3" s="760"/>
      <c r="K3" s="761" t="s">
        <v>165</v>
      </c>
      <c r="L3" s="760"/>
      <c r="M3" s="624" t="s">
        <v>111</v>
      </c>
      <c r="N3" s="760"/>
      <c r="O3" s="866" t="s">
        <v>112</v>
      </c>
      <c r="P3" s="866"/>
      <c r="Q3" s="866"/>
      <c r="R3" s="866"/>
      <c r="S3" s="867" t="s">
        <v>113</v>
      </c>
      <c r="T3" s="868"/>
      <c r="U3" s="868"/>
      <c r="V3" s="869"/>
      <c r="W3" s="870" t="s">
        <v>114</v>
      </c>
      <c r="X3" s="871"/>
      <c r="Y3" s="871"/>
      <c r="Z3" s="872"/>
      <c r="AA3" s="287" t="s">
        <v>115</v>
      </c>
      <c r="AB3" s="127" t="s">
        <v>111</v>
      </c>
      <c r="AD3" s="127">
        <v>0</v>
      </c>
      <c r="AE3" s="127" t="s">
        <v>116</v>
      </c>
      <c r="AF3" s="749" t="s">
        <v>117</v>
      </c>
      <c r="AG3" s="750" t="s">
        <v>117</v>
      </c>
      <c r="AH3" s="399" t="s">
        <v>117</v>
      </c>
      <c r="AI3" s="135" t="s">
        <v>118</v>
      </c>
      <c r="AJ3" s="751" t="s">
        <v>115</v>
      </c>
      <c r="AK3" s="752" t="s">
        <v>115</v>
      </c>
    </row>
    <row r="4" spans="1:37" ht="60.75" thickBot="1" x14ac:dyDescent="0.25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756"/>
      <c r="J4" s="770"/>
      <c r="K4" s="290"/>
      <c r="L4" s="759"/>
      <c r="M4" s="762"/>
      <c r="N4" s="285"/>
      <c r="O4" s="763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53">
        <v>2000</v>
      </c>
      <c r="AG4" s="754">
        <v>1000</v>
      </c>
      <c r="AH4" s="621">
        <v>1000</v>
      </c>
      <c r="AI4" s="127">
        <f>SUM([2]Sheet1!$AA$36)</f>
        <v>950</v>
      </c>
      <c r="AJ4" s="623" t="s">
        <v>10</v>
      </c>
      <c r="AK4" s="127" t="s">
        <v>119</v>
      </c>
    </row>
    <row r="5" spans="1:37" ht="18.75" x14ac:dyDescent="0.2">
      <c r="A5" s="765"/>
      <c r="B5" s="773"/>
      <c r="C5" s="774"/>
      <c r="D5" s="775"/>
      <c r="E5" s="775"/>
      <c r="F5" s="775"/>
      <c r="G5" s="775"/>
      <c r="H5" s="776"/>
      <c r="I5" s="776"/>
      <c r="J5" s="708"/>
      <c r="K5" s="727"/>
      <c r="L5" s="129"/>
      <c r="M5" s="470"/>
      <c r="N5" s="764"/>
      <c r="O5" s="707"/>
      <c r="P5" s="726">
        <v>19032</v>
      </c>
      <c r="Q5" s="737"/>
      <c r="R5" s="727"/>
      <c r="S5" s="707"/>
      <c r="T5" s="714">
        <v>17126</v>
      </c>
      <c r="U5" s="707"/>
      <c r="V5" s="727"/>
      <c r="W5" s="707"/>
      <c r="X5" s="719">
        <v>25503</v>
      </c>
      <c r="Y5" s="707"/>
      <c r="Z5" s="712"/>
      <c r="AA5" s="723"/>
      <c r="AB5" s="722">
        <v>40765</v>
      </c>
      <c r="AC5" s="707"/>
      <c r="AD5" s="704">
        <v>206714</v>
      </c>
      <c r="AE5" s="709"/>
      <c r="AF5" s="730">
        <v>0.85</v>
      </c>
      <c r="AG5" s="731">
        <v>0.85</v>
      </c>
      <c r="AH5" s="744">
        <v>0.85</v>
      </c>
      <c r="AI5" s="734"/>
      <c r="AJ5" s="723"/>
      <c r="AK5" s="723"/>
    </row>
    <row r="6" spans="1:37" ht="18.75" x14ac:dyDescent="0.3">
      <c r="A6" s="766">
        <f>Gen!B11</f>
        <v>44136</v>
      </c>
      <c r="B6" s="424">
        <f>'Summery Report'!E5</f>
        <v>3</v>
      </c>
      <c r="C6" s="771">
        <f>Gen!C11</f>
        <v>2.5999999999999999E-2</v>
      </c>
      <c r="D6" s="733">
        <f>'Summery Report'!E5</f>
        <v>3</v>
      </c>
      <c r="E6" s="733">
        <f>SUM(F3)</f>
        <v>1.3262195121951219</v>
      </c>
      <c r="F6" s="437">
        <f>SUM(J6*E6)/D6</f>
        <v>1067.6067073170732</v>
      </c>
      <c r="G6" s="437">
        <f t="shared" ref="G6:G36" si="0">SUM(L6*E6)/D6</f>
        <v>1067.6067073170732</v>
      </c>
      <c r="H6" s="733">
        <f>Gen!D11</f>
        <v>32519.1</v>
      </c>
      <c r="I6" s="733">
        <f>Gen!F11</f>
        <v>0</v>
      </c>
      <c r="J6" s="772">
        <f>Gen!U11</f>
        <v>2415</v>
      </c>
      <c r="K6" s="777">
        <f>Gen!AL11</f>
        <v>0</v>
      </c>
      <c r="L6" s="768">
        <f t="shared" ref="L6:L13" si="1">SUM(J6:K6)</f>
        <v>2415</v>
      </c>
      <c r="M6" s="448">
        <f>'Water-Meter'!K46</f>
        <v>524.55386960882572</v>
      </c>
      <c r="N6" s="728">
        <f>'Water-Meter'!E6</f>
        <v>54</v>
      </c>
      <c r="O6" s="718"/>
      <c r="P6" s="726">
        <v>19032</v>
      </c>
      <c r="Q6" s="738">
        <f t="shared" ref="Q6:Q36" si="2">SUM(P6-P5)</f>
        <v>0</v>
      </c>
      <c r="R6" s="425">
        <f>SUM(Q6*O6)</f>
        <v>0</v>
      </c>
      <c r="S6" s="713"/>
      <c r="T6" s="714">
        <v>17126</v>
      </c>
      <c r="U6" s="738">
        <f>T6-T5</f>
        <v>0</v>
      </c>
      <c r="V6" s="426" t="s">
        <v>246</v>
      </c>
      <c r="W6" s="718">
        <v>2.2999999999999998</v>
      </c>
      <c r="X6" s="719">
        <v>25523</v>
      </c>
      <c r="Y6" s="738">
        <f>X6-X5</f>
        <v>20</v>
      </c>
      <c r="Z6" s="721">
        <f t="shared" ref="Z6:AA6" si="3">Y6-Y5</f>
        <v>20</v>
      </c>
      <c r="AA6" s="724">
        <f t="shared" si="3"/>
        <v>20</v>
      </c>
      <c r="AB6" s="722">
        <v>40806</v>
      </c>
      <c r="AC6" s="702">
        <f>AB6-AB5</f>
        <v>41</v>
      </c>
      <c r="AD6" s="704">
        <v>206750</v>
      </c>
      <c r="AE6" s="179">
        <f>AD6-AD5</f>
        <v>36</v>
      </c>
      <c r="AF6" s="732">
        <f>'Lpg (2)'!B10*2000/85</f>
        <v>705.88235294117646</v>
      </c>
      <c r="AG6" s="267">
        <f>'Lpg (2)'!C10*1000/85</f>
        <v>1000</v>
      </c>
      <c r="AH6" s="745">
        <f>'Lpg (2)'!D10*1000/85</f>
        <v>1000</v>
      </c>
      <c r="AI6" s="735">
        <f>SUM(AF6*2000)+(AG6*1000)+(AH6*1000)</f>
        <v>3411764.7058823528</v>
      </c>
      <c r="AJ6" s="427">
        <f t="shared" ref="AJ6:AJ36" si="4">SUM(AI5-AI6)</f>
        <v>-3411764.7058823528</v>
      </c>
      <c r="AK6" s="133"/>
    </row>
    <row r="7" spans="1:37" ht="18.75" x14ac:dyDescent="0.3">
      <c r="A7" s="766">
        <f>Gen!B12</f>
        <v>44137</v>
      </c>
      <c r="B7" s="424">
        <f>'Summery Report'!E6</f>
        <v>5</v>
      </c>
      <c r="C7" s="771">
        <f>Gen!C12</f>
        <v>5.1900000000000002E-2</v>
      </c>
      <c r="D7" s="733">
        <f>'Summery Report'!E6</f>
        <v>5</v>
      </c>
      <c r="E7" s="733">
        <f>SUM(E6)</f>
        <v>1.3262195121951219</v>
      </c>
      <c r="F7" s="437">
        <f>SUM(J7*E7)/D7</f>
        <v>694.14329268292681</v>
      </c>
      <c r="G7" s="437">
        <f t="shared" si="0"/>
        <v>694.14329268292681</v>
      </c>
      <c r="H7" s="733">
        <f>Gen!D12</f>
        <v>31563.05</v>
      </c>
      <c r="I7" s="733">
        <f>Gen!F12</f>
        <v>0</v>
      </c>
      <c r="J7" s="772">
        <f>Gen!U12</f>
        <v>2617</v>
      </c>
      <c r="K7" s="777">
        <f>Gen!AL12</f>
        <v>0</v>
      </c>
      <c r="L7" s="768">
        <f t="shared" si="1"/>
        <v>2617</v>
      </c>
      <c r="M7" s="448">
        <f>'Water-Meter'!K47</f>
        <v>416.41123778431614</v>
      </c>
      <c r="N7" s="728">
        <f>'Water-Meter'!E7</f>
        <v>48</v>
      </c>
      <c r="O7" s="718"/>
      <c r="P7" s="726">
        <v>19032</v>
      </c>
      <c r="Q7" s="738">
        <f t="shared" si="2"/>
        <v>0</v>
      </c>
      <c r="R7" s="425">
        <f t="shared" ref="R7:R36" si="5">SUM(Q7*O7)</f>
        <v>0</v>
      </c>
      <c r="S7" s="713"/>
      <c r="T7" s="714">
        <v>17126</v>
      </c>
      <c r="U7" s="738">
        <f t="shared" ref="U7:U36" si="6">T7-T6</f>
        <v>0</v>
      </c>
      <c r="V7" s="426">
        <f t="shared" ref="V7:V9" si="7">SUM(U7*S7)</f>
        <v>0</v>
      </c>
      <c r="W7" s="718">
        <v>2.2999999999999998</v>
      </c>
      <c r="X7" s="719">
        <v>25548</v>
      </c>
      <c r="Y7" s="738">
        <f t="shared" ref="Y7:Y36" si="8">X7-X6</f>
        <v>25</v>
      </c>
      <c r="Z7" s="717">
        <f t="shared" ref="Z7:Z36" si="9">SUM(Y7*W7)</f>
        <v>57.499999999999993</v>
      </c>
      <c r="AA7" s="725">
        <f t="shared" ref="AA7:AA36" si="10">SUM(Z7*X9)</f>
        <v>1471769.9999999998</v>
      </c>
      <c r="AB7" s="722">
        <v>40854</v>
      </c>
      <c r="AC7" s="702">
        <f t="shared" ref="AC7:AC27" si="11">AB7-AB6</f>
        <v>48</v>
      </c>
      <c r="AD7" s="704">
        <v>206776</v>
      </c>
      <c r="AE7" s="179">
        <f>AD7-AD6</f>
        <v>26</v>
      </c>
      <c r="AF7" s="732">
        <f>'Lpg (2)'!B11*2000/85</f>
        <v>588.23529411764707</v>
      </c>
      <c r="AG7" s="267">
        <f>'Lpg (2)'!C11*1000/85</f>
        <v>1000</v>
      </c>
      <c r="AH7" s="745">
        <f>'Lpg (2)'!D11*1000/85</f>
        <v>1000</v>
      </c>
      <c r="AI7" s="735">
        <f t="shared" ref="AI7:AI14" si="12">SUM(AF6*2000)+(AG7*1000)+(AH7*1000)</f>
        <v>3411764.7058823528</v>
      </c>
      <c r="AJ7" s="427">
        <f t="shared" si="4"/>
        <v>0</v>
      </c>
      <c r="AK7" s="133"/>
    </row>
    <row r="8" spans="1:37" ht="18.75" x14ac:dyDescent="0.3">
      <c r="A8" s="766">
        <f>Gen!B13</f>
        <v>44138</v>
      </c>
      <c r="B8" s="424">
        <f>'Summery Report'!E7</f>
        <v>7</v>
      </c>
      <c r="C8" s="771">
        <f>Gen!C13</f>
        <v>7.7899999999999997E-2</v>
      </c>
      <c r="D8" s="733">
        <f>'Summery Report'!E7</f>
        <v>7</v>
      </c>
      <c r="E8" s="733">
        <f t="shared" ref="E8:E36" si="13">SUM(E7)</f>
        <v>1.3262195121951219</v>
      </c>
      <c r="F8" s="437">
        <f t="shared" ref="F8:F36" si="14">SUM(J8*E8)/D8</f>
        <v>491.08013937282232</v>
      </c>
      <c r="G8" s="437">
        <f t="shared" si="0"/>
        <v>491.08013937282232</v>
      </c>
      <c r="H8" s="733">
        <f>Gen!D13</f>
        <v>30433.51</v>
      </c>
      <c r="I8" s="733">
        <f>Gen!F13</f>
        <v>0</v>
      </c>
      <c r="J8" s="772">
        <f>Gen!U13</f>
        <v>2592</v>
      </c>
      <c r="K8" s="777">
        <f>Gen!AL13</f>
        <v>0</v>
      </c>
      <c r="L8" s="768">
        <f t="shared" si="1"/>
        <v>2592</v>
      </c>
      <c r="M8" s="448">
        <f>'Water-Meter'!K48</f>
        <v>420.68537496944975</v>
      </c>
      <c r="N8" s="728">
        <f>'Water-Meter'!E8</f>
        <v>81</v>
      </c>
      <c r="O8" s="718"/>
      <c r="P8" s="726">
        <v>19032</v>
      </c>
      <c r="Q8" s="738">
        <f t="shared" si="2"/>
        <v>0</v>
      </c>
      <c r="R8" s="425">
        <f t="shared" si="5"/>
        <v>0</v>
      </c>
      <c r="S8" s="713"/>
      <c r="T8" s="714">
        <v>17126</v>
      </c>
      <c r="U8" s="738">
        <f t="shared" si="6"/>
        <v>0</v>
      </c>
      <c r="V8" s="426">
        <f t="shared" si="7"/>
        <v>0</v>
      </c>
      <c r="W8" s="718">
        <v>2.2999999999999998</v>
      </c>
      <c r="X8" s="719">
        <v>25572</v>
      </c>
      <c r="Y8" s="738">
        <f t="shared" si="8"/>
        <v>24</v>
      </c>
      <c r="Z8" s="717">
        <f t="shared" si="9"/>
        <v>55.199999999999996</v>
      </c>
      <c r="AA8" s="725">
        <f t="shared" si="10"/>
        <v>1414113.5999999999</v>
      </c>
      <c r="AB8" s="722">
        <v>40902</v>
      </c>
      <c r="AC8" s="702">
        <f t="shared" si="11"/>
        <v>48</v>
      </c>
      <c r="AD8" s="704">
        <v>206802</v>
      </c>
      <c r="AE8" s="179">
        <f t="shared" ref="AE8:AE37" si="15">AD8-AD7</f>
        <v>26</v>
      </c>
      <c r="AF8" s="732">
        <f>'Lpg (2)'!B12*2000/85</f>
        <v>517.64705882352939</v>
      </c>
      <c r="AG8" s="267">
        <f>'Lpg (2)'!C12*1000/85</f>
        <v>1000</v>
      </c>
      <c r="AH8" s="745">
        <f>'Lpg (2)'!D12*1000/85</f>
        <v>1000</v>
      </c>
      <c r="AI8" s="735">
        <f t="shared" si="12"/>
        <v>3176470.5882352944</v>
      </c>
      <c r="AJ8" s="427">
        <f t="shared" si="4"/>
        <v>235294.11764705833</v>
      </c>
      <c r="AK8" s="133"/>
    </row>
    <row r="9" spans="1:37" ht="18.75" x14ac:dyDescent="0.3">
      <c r="A9" s="766">
        <f>Gen!B14</f>
        <v>44139</v>
      </c>
      <c r="B9" s="424">
        <f>'Summery Report'!E8</f>
        <v>6</v>
      </c>
      <c r="C9" s="771">
        <f>Gen!C14</f>
        <v>6.4899999999999999E-2</v>
      </c>
      <c r="D9" s="733">
        <f>'Summery Report'!E8</f>
        <v>6</v>
      </c>
      <c r="E9" s="733">
        <f t="shared" si="13"/>
        <v>1.3262195121951219</v>
      </c>
      <c r="F9" s="437">
        <f t="shared" si="14"/>
        <v>586.85213414634143</v>
      </c>
      <c r="G9" s="437">
        <f t="shared" si="0"/>
        <v>586.85213414634143</v>
      </c>
      <c r="H9" s="733">
        <f>Gen!D14</f>
        <v>47230.25</v>
      </c>
      <c r="I9" s="733">
        <f>Gen!F14</f>
        <v>18000</v>
      </c>
      <c r="J9" s="772">
        <f>Gen!U14</f>
        <v>2655</v>
      </c>
      <c r="K9" s="777">
        <f>Gen!AL14</f>
        <v>0</v>
      </c>
      <c r="L9" s="768">
        <f t="shared" si="1"/>
        <v>2655</v>
      </c>
      <c r="M9" s="448">
        <f>'Water-Meter'!K49</f>
        <v>446.25443518658005</v>
      </c>
      <c r="N9" s="728">
        <f>'Water-Meter'!E9</f>
        <v>50</v>
      </c>
      <c r="O9" s="718"/>
      <c r="P9" s="726">
        <v>19032</v>
      </c>
      <c r="Q9" s="738">
        <f t="shared" si="2"/>
        <v>0</v>
      </c>
      <c r="R9" s="425">
        <f t="shared" si="5"/>
        <v>0</v>
      </c>
      <c r="S9" s="713"/>
      <c r="T9" s="714">
        <v>17126</v>
      </c>
      <c r="U9" s="738">
        <f t="shared" si="6"/>
        <v>0</v>
      </c>
      <c r="V9" s="426">
        <f t="shared" si="7"/>
        <v>0</v>
      </c>
      <c r="W9" s="718">
        <v>2.2999999999999998</v>
      </c>
      <c r="X9" s="719">
        <v>25596</v>
      </c>
      <c r="Y9" s="738">
        <f t="shared" si="8"/>
        <v>24</v>
      </c>
      <c r="Z9" s="717">
        <f t="shared" si="9"/>
        <v>55.199999999999996</v>
      </c>
      <c r="AA9" s="725">
        <f t="shared" si="10"/>
        <v>1415438.4</v>
      </c>
      <c r="AB9" s="722">
        <v>40979</v>
      </c>
      <c r="AC9" s="702">
        <f t="shared" si="11"/>
        <v>77</v>
      </c>
      <c r="AD9" s="704">
        <v>206847</v>
      </c>
      <c r="AE9" s="179">
        <f t="shared" si="15"/>
        <v>45</v>
      </c>
      <c r="AF9" s="732">
        <f>'Lpg (2)'!B13*2000/85</f>
        <v>470.58823529411762</v>
      </c>
      <c r="AG9" s="267">
        <f>'Lpg (2)'!C13*1000/85</f>
        <v>1000</v>
      </c>
      <c r="AH9" s="745">
        <f>'Lpg (2)'!D13*1000/85</f>
        <v>1000</v>
      </c>
      <c r="AI9" s="735">
        <f t="shared" si="12"/>
        <v>3035294.1176470588</v>
      </c>
      <c r="AJ9" s="427">
        <f t="shared" si="4"/>
        <v>141176.47058823565</v>
      </c>
      <c r="AK9" s="133"/>
    </row>
    <row r="10" spans="1:37" ht="18.75" x14ac:dyDescent="0.3">
      <c r="A10" s="766">
        <f>Gen!B15</f>
        <v>44140</v>
      </c>
      <c r="B10" s="424">
        <f>'Summery Report'!E9</f>
        <v>3</v>
      </c>
      <c r="C10" s="771">
        <f>Gen!C15</f>
        <v>2.5999999999999999E-2</v>
      </c>
      <c r="D10" s="733">
        <f>'Summery Report'!E9</f>
        <v>3</v>
      </c>
      <c r="E10" s="733">
        <f t="shared" si="13"/>
        <v>1.3262195121951219</v>
      </c>
      <c r="F10" s="437">
        <f t="shared" si="14"/>
        <v>1147.1798780487804</v>
      </c>
      <c r="G10" s="437">
        <f t="shared" si="0"/>
        <v>1147.1798780487804</v>
      </c>
      <c r="H10" s="733">
        <f>Gen!D15</f>
        <v>46132.800000000003</v>
      </c>
      <c r="I10" s="733">
        <f>Gen!F15</f>
        <v>0</v>
      </c>
      <c r="J10" s="772">
        <f>Gen!U15</f>
        <v>2595</v>
      </c>
      <c r="K10" s="777">
        <f>Gen!AL15</f>
        <v>0</v>
      </c>
      <c r="L10" s="768">
        <f t="shared" si="1"/>
        <v>2595</v>
      </c>
      <c r="M10" s="448">
        <f>'Water-Meter'!K50</f>
        <v>533.57755777672651</v>
      </c>
      <c r="N10" s="728">
        <f>'Water-Meter'!E10</f>
        <v>58</v>
      </c>
      <c r="O10" s="718"/>
      <c r="P10" s="726">
        <v>19032</v>
      </c>
      <c r="Q10" s="738">
        <f t="shared" si="2"/>
        <v>0</v>
      </c>
      <c r="R10" s="425">
        <f t="shared" si="5"/>
        <v>0</v>
      </c>
      <c r="S10" s="713"/>
      <c r="T10" s="714">
        <v>17126</v>
      </c>
      <c r="U10" s="738">
        <f t="shared" si="6"/>
        <v>0</v>
      </c>
      <c r="V10" s="426">
        <f t="shared" ref="V10:V16" si="16">SUM(U10*S10)</f>
        <v>0</v>
      </c>
      <c r="W10" s="713">
        <v>2.1</v>
      </c>
      <c r="X10" s="719">
        <v>25618</v>
      </c>
      <c r="Y10" s="738">
        <f t="shared" si="8"/>
        <v>22</v>
      </c>
      <c r="Z10" s="717">
        <f t="shared" si="9"/>
        <v>46.2</v>
      </c>
      <c r="AA10" s="725">
        <f t="shared" si="10"/>
        <v>1185723</v>
      </c>
      <c r="AB10" s="722">
        <v>40992</v>
      </c>
      <c r="AC10" s="702">
        <f t="shared" si="11"/>
        <v>13</v>
      </c>
      <c r="AD10" s="704">
        <v>206893</v>
      </c>
      <c r="AE10" s="179">
        <f t="shared" si="15"/>
        <v>46</v>
      </c>
      <c r="AF10" s="732">
        <f>'Lpg (2)'!B14*2000/85</f>
        <v>447.05882352941177</v>
      </c>
      <c r="AG10" s="267">
        <f>'Lpg (2)'!C14*1000/85</f>
        <v>1000</v>
      </c>
      <c r="AH10" s="745">
        <f>'Lpg (2)'!D14*1000/85</f>
        <v>1000</v>
      </c>
      <c r="AI10" s="735">
        <f t="shared" si="12"/>
        <v>2941176.4705882352</v>
      </c>
      <c r="AJ10" s="427">
        <f t="shared" si="4"/>
        <v>94117.647058823612</v>
      </c>
      <c r="AK10" s="133"/>
    </row>
    <row r="11" spans="1:37" ht="18.75" x14ac:dyDescent="0.3">
      <c r="A11" s="766">
        <f>Gen!B16</f>
        <v>44141</v>
      </c>
      <c r="B11" s="424">
        <f>'Summery Report'!E10</f>
        <v>6</v>
      </c>
      <c r="C11" s="771">
        <f>Gen!C16</f>
        <v>6.4899999999999999E-2</v>
      </c>
      <c r="D11" s="733">
        <f>'Summery Report'!E10</f>
        <v>6</v>
      </c>
      <c r="E11" s="733">
        <f t="shared" si="13"/>
        <v>1.3262195121951219</v>
      </c>
      <c r="F11" s="437">
        <f t="shared" si="14"/>
        <v>490.03810975609753</v>
      </c>
      <c r="G11" s="437">
        <f t="shared" si="0"/>
        <v>490.03810975609753</v>
      </c>
      <c r="H11" s="733">
        <f>Gen!D16</f>
        <v>45014.450000000004</v>
      </c>
      <c r="I11" s="733">
        <f>Gen!F16</f>
        <v>0</v>
      </c>
      <c r="J11" s="772">
        <f>Gen!U16</f>
        <v>2217</v>
      </c>
      <c r="K11" s="777">
        <f>Gen!AL16</f>
        <v>0</v>
      </c>
      <c r="L11" s="768">
        <f t="shared" si="1"/>
        <v>2217</v>
      </c>
      <c r="M11" s="448">
        <f>'Water-Meter'!K51</f>
        <v>553.07529693693709</v>
      </c>
      <c r="N11" s="728">
        <f>'Water-Meter'!E11</f>
        <v>62</v>
      </c>
      <c r="O11" s="718"/>
      <c r="P11" s="726">
        <v>19032</v>
      </c>
      <c r="Q11" s="738">
        <f t="shared" si="2"/>
        <v>0</v>
      </c>
      <c r="R11" s="425">
        <f t="shared" si="5"/>
        <v>0</v>
      </c>
      <c r="S11" s="713"/>
      <c r="T11" s="714">
        <v>17126</v>
      </c>
      <c r="U11" s="738">
        <f t="shared" si="6"/>
        <v>0</v>
      </c>
      <c r="V11" s="426">
        <f t="shared" si="16"/>
        <v>0</v>
      </c>
      <c r="W11" s="713">
        <v>2.1</v>
      </c>
      <c r="X11" s="719">
        <v>25642</v>
      </c>
      <c r="Y11" s="738">
        <f t="shared" si="8"/>
        <v>24</v>
      </c>
      <c r="Z11" s="717">
        <f t="shared" si="9"/>
        <v>50.400000000000006</v>
      </c>
      <c r="AA11" s="725">
        <f t="shared" si="10"/>
        <v>1294725.6000000001</v>
      </c>
      <c r="AB11" s="722">
        <v>41039</v>
      </c>
      <c r="AC11" s="702">
        <f t="shared" si="11"/>
        <v>47</v>
      </c>
      <c r="AD11" s="704">
        <v>206938</v>
      </c>
      <c r="AE11" s="179">
        <f t="shared" si="15"/>
        <v>45</v>
      </c>
      <c r="AF11" s="732">
        <f>'Lpg (2)'!B15*2000/85</f>
        <v>423.52941176470586</v>
      </c>
      <c r="AG11" s="267">
        <f>'Lpg (2)'!C15*1000/85</f>
        <v>1000</v>
      </c>
      <c r="AH11" s="745">
        <f>'Lpg (2)'!D15*1000/85</f>
        <v>1000</v>
      </c>
      <c r="AI11" s="735">
        <f t="shared" si="12"/>
        <v>2894117.6470588236</v>
      </c>
      <c r="AJ11" s="427">
        <f t="shared" si="4"/>
        <v>47058.823529411573</v>
      </c>
      <c r="AK11" s="133"/>
    </row>
    <row r="12" spans="1:37" ht="18.75" x14ac:dyDescent="0.3">
      <c r="A12" s="766">
        <f>Gen!B17</f>
        <v>44142</v>
      </c>
      <c r="B12" s="424">
        <f>'Summery Report'!E11</f>
        <v>5</v>
      </c>
      <c r="C12" s="771">
        <f>Gen!C17</f>
        <v>5.1900000000000002E-2</v>
      </c>
      <c r="D12" s="733">
        <f>'Summery Report'!E11</f>
        <v>5</v>
      </c>
      <c r="E12" s="733">
        <f t="shared" si="13"/>
        <v>1.3262195121951219</v>
      </c>
      <c r="F12" s="437">
        <f t="shared" si="14"/>
        <v>657.53963414634143</v>
      </c>
      <c r="G12" s="437">
        <f t="shared" si="0"/>
        <v>657.53963414634143</v>
      </c>
      <c r="H12" s="733">
        <f>Gen!D17</f>
        <v>43932.630000000005</v>
      </c>
      <c r="I12" s="733">
        <f>Gen!F17</f>
        <v>0</v>
      </c>
      <c r="J12" s="772">
        <f>Gen!U17</f>
        <v>2479</v>
      </c>
      <c r="K12" s="777">
        <f>Gen!AL17</f>
        <v>0</v>
      </c>
      <c r="L12" s="768">
        <f t="shared" si="1"/>
        <v>2479</v>
      </c>
      <c r="M12" s="448">
        <f>'Water-Meter'!K52</f>
        <v>466.96849646821954</v>
      </c>
      <c r="N12" s="728">
        <f>'Water-Meter'!E12</f>
        <v>83</v>
      </c>
      <c r="O12" s="718"/>
      <c r="P12" s="726">
        <v>19032</v>
      </c>
      <c r="Q12" s="738">
        <f t="shared" si="2"/>
        <v>0</v>
      </c>
      <c r="R12" s="425">
        <f t="shared" si="5"/>
        <v>0</v>
      </c>
      <c r="S12" s="713"/>
      <c r="T12" s="714">
        <v>17126</v>
      </c>
      <c r="U12" s="738">
        <f t="shared" si="6"/>
        <v>0</v>
      </c>
      <c r="V12" s="426">
        <f t="shared" si="16"/>
        <v>0</v>
      </c>
      <c r="W12" s="713">
        <v>2.2999999999999998</v>
      </c>
      <c r="X12" s="719">
        <v>25665</v>
      </c>
      <c r="Y12" s="738">
        <f t="shared" si="8"/>
        <v>23</v>
      </c>
      <c r="Z12" s="717">
        <f t="shared" si="9"/>
        <v>52.9</v>
      </c>
      <c r="AA12" s="725">
        <f t="shared" si="10"/>
        <v>1360164.8</v>
      </c>
      <c r="AB12" s="722">
        <v>41084</v>
      </c>
      <c r="AC12" s="702">
        <f t="shared" si="11"/>
        <v>45</v>
      </c>
      <c r="AD12" s="704">
        <v>206984</v>
      </c>
      <c r="AE12" s="179">
        <f t="shared" si="15"/>
        <v>46</v>
      </c>
      <c r="AF12" s="732">
        <f>'Lpg (2)'!B16*2000/85</f>
        <v>2000</v>
      </c>
      <c r="AG12" s="267">
        <f>'Lpg (2)'!C16*1000/85</f>
        <v>1000</v>
      </c>
      <c r="AH12" s="745">
        <f>'Lpg (2)'!D16*1000/85</f>
        <v>1000</v>
      </c>
      <c r="AI12" s="735">
        <f t="shared" si="12"/>
        <v>2847058.8235294116</v>
      </c>
      <c r="AJ12" s="427">
        <f t="shared" si="4"/>
        <v>47058.823529412039</v>
      </c>
      <c r="AK12" s="133"/>
    </row>
    <row r="13" spans="1:37" ht="18.75" x14ac:dyDescent="0.3">
      <c r="A13" s="766">
        <f>Gen!B18</f>
        <v>44143</v>
      </c>
      <c r="B13" s="424">
        <f>'Summery Report'!E12</f>
        <v>1</v>
      </c>
      <c r="C13" s="771">
        <f>Gen!C18</f>
        <v>0</v>
      </c>
      <c r="D13" s="733">
        <f>'Summery Report'!E12</f>
        <v>1</v>
      </c>
      <c r="E13" s="733">
        <f t="shared" si="13"/>
        <v>1.3262195121951219</v>
      </c>
      <c r="F13" s="437">
        <f t="shared" si="14"/>
        <v>3104.6798780487802</v>
      </c>
      <c r="G13" s="437">
        <f t="shared" si="0"/>
        <v>3104.6798780487802</v>
      </c>
      <c r="H13" s="733">
        <f>Gen!D18</f>
        <v>42971.680000000008</v>
      </c>
      <c r="I13" s="733">
        <f>Gen!F18</f>
        <v>0</v>
      </c>
      <c r="J13" s="772">
        <f>Gen!U18</f>
        <v>2341</v>
      </c>
      <c r="K13" s="777">
        <f>Gen!AL18</f>
        <v>0</v>
      </c>
      <c r="L13" s="768">
        <f t="shared" si="1"/>
        <v>2341</v>
      </c>
      <c r="M13" s="448">
        <f>'Water-Meter'!K53</f>
        <v>419.71088995753632</v>
      </c>
      <c r="N13" s="728">
        <f>'Water-Meter'!E13</f>
        <v>63</v>
      </c>
      <c r="O13" s="718"/>
      <c r="P13" s="726">
        <v>19032</v>
      </c>
      <c r="Q13" s="738">
        <f t="shared" si="2"/>
        <v>0</v>
      </c>
      <c r="R13" s="425">
        <f t="shared" si="5"/>
        <v>0</v>
      </c>
      <c r="S13" s="713"/>
      <c r="T13" s="714">
        <v>17126</v>
      </c>
      <c r="U13" s="738">
        <f t="shared" si="6"/>
        <v>0</v>
      </c>
      <c r="V13" s="426">
        <f t="shared" si="16"/>
        <v>0</v>
      </c>
      <c r="W13" s="713">
        <v>2.2999999999999998</v>
      </c>
      <c r="X13" s="719">
        <v>25689</v>
      </c>
      <c r="Y13" s="738">
        <f t="shared" si="8"/>
        <v>24</v>
      </c>
      <c r="Z13" s="717">
        <f t="shared" si="9"/>
        <v>55.199999999999996</v>
      </c>
      <c r="AA13" s="725">
        <f t="shared" si="10"/>
        <v>1420627.2</v>
      </c>
      <c r="AB13" s="722">
        <v>41135</v>
      </c>
      <c r="AC13" s="702">
        <f t="shared" si="11"/>
        <v>51</v>
      </c>
      <c r="AD13" s="704">
        <v>207030</v>
      </c>
      <c r="AE13" s="179">
        <f t="shared" si="15"/>
        <v>46</v>
      </c>
      <c r="AF13" s="732">
        <f>'Lpg (2)'!B17*2000/85</f>
        <v>2000</v>
      </c>
      <c r="AG13" s="267">
        <f>'Lpg (2)'!C17*1000/85</f>
        <v>976.47058823529414</v>
      </c>
      <c r="AH13" s="745">
        <f>'Lpg (2)'!D17*1000/85</f>
        <v>1000</v>
      </c>
      <c r="AI13" s="735">
        <f t="shared" si="12"/>
        <v>5976470.5882352944</v>
      </c>
      <c r="AJ13" s="427">
        <f t="shared" si="4"/>
        <v>-3129411.7647058829</v>
      </c>
      <c r="AK13" s="133"/>
    </row>
    <row r="14" spans="1:37" ht="18.75" x14ac:dyDescent="0.3">
      <c r="A14" s="766">
        <f>Gen!B19</f>
        <v>44144</v>
      </c>
      <c r="B14" s="424">
        <f>'Summery Report'!E13</f>
        <v>2</v>
      </c>
      <c r="C14" s="771">
        <f>Gen!C19</f>
        <v>1.2999999999999999E-2</v>
      </c>
      <c r="D14" s="733">
        <f>'Summery Report'!E13</f>
        <v>2</v>
      </c>
      <c r="E14" s="733">
        <f t="shared" si="13"/>
        <v>1.3262195121951219</v>
      </c>
      <c r="F14" s="437">
        <f t="shared" si="14"/>
        <v>1564.939024390244</v>
      </c>
      <c r="G14" s="437">
        <f t="shared" si="0"/>
        <v>1564.939024390244</v>
      </c>
      <c r="H14" s="733">
        <f>Gen!D19</f>
        <v>41947.12000000001</v>
      </c>
      <c r="I14" s="733">
        <f>Gen!F19</f>
        <v>0</v>
      </c>
      <c r="J14" s="772">
        <f>Gen!U19</f>
        <v>2360</v>
      </c>
      <c r="K14" s="777">
        <f>Gen!AL19</f>
        <v>0</v>
      </c>
      <c r="L14" s="768">
        <f t="shared" ref="L14:L37" si="17">SUM(J14:K14)</f>
        <v>2360</v>
      </c>
      <c r="M14" s="448">
        <f>'Water-Meter'!K54</f>
        <v>458.54698950480952</v>
      </c>
      <c r="N14" s="728">
        <f>'Water-Meter'!E14</f>
        <v>46</v>
      </c>
      <c r="O14" s="718"/>
      <c r="P14" s="726">
        <v>19032</v>
      </c>
      <c r="Q14" s="738">
        <f t="shared" si="2"/>
        <v>0</v>
      </c>
      <c r="R14" s="425">
        <f t="shared" si="5"/>
        <v>0</v>
      </c>
      <c r="S14" s="713"/>
      <c r="T14" s="714">
        <v>17126</v>
      </c>
      <c r="U14" s="738">
        <f t="shared" si="6"/>
        <v>0</v>
      </c>
      <c r="V14" s="426">
        <f t="shared" si="16"/>
        <v>0</v>
      </c>
      <c r="W14" s="713">
        <v>2.4</v>
      </c>
      <c r="X14" s="719">
        <v>25712</v>
      </c>
      <c r="Y14" s="738">
        <f t="shared" si="8"/>
        <v>23</v>
      </c>
      <c r="Z14" s="717">
        <f t="shared" si="9"/>
        <v>55.199999999999996</v>
      </c>
      <c r="AA14" s="725">
        <f t="shared" si="10"/>
        <v>1421952</v>
      </c>
      <c r="AB14" s="722">
        <v>41182</v>
      </c>
      <c r="AC14" s="702">
        <f t="shared" si="11"/>
        <v>47</v>
      </c>
      <c r="AD14" s="704">
        <v>207071</v>
      </c>
      <c r="AE14" s="179">
        <f t="shared" si="15"/>
        <v>41</v>
      </c>
      <c r="AF14" s="732">
        <f>'Lpg (2)'!B18*2000/85</f>
        <v>2000</v>
      </c>
      <c r="AG14" s="267">
        <f>'Lpg (2)'!C18*1000/85</f>
        <v>964.70588235294122</v>
      </c>
      <c r="AH14" s="745">
        <f>'Lpg (2)'!D18*1000/85</f>
        <v>1000</v>
      </c>
      <c r="AI14" s="735">
        <f t="shared" si="12"/>
        <v>5964705.8823529407</v>
      </c>
      <c r="AJ14" s="427">
        <f t="shared" si="4"/>
        <v>11764.705882353708</v>
      </c>
      <c r="AK14" s="133"/>
    </row>
    <row r="15" spans="1:37" ht="18.75" x14ac:dyDescent="0.3">
      <c r="A15" s="766">
        <f>Gen!B20</f>
        <v>44145</v>
      </c>
      <c r="B15" s="424">
        <f>'Summery Report'!E14</f>
        <v>4</v>
      </c>
      <c r="C15" s="771">
        <f>Gen!C20</f>
        <v>3.9E-2</v>
      </c>
      <c r="D15" s="733">
        <f>'Summery Report'!E14</f>
        <v>4</v>
      </c>
      <c r="E15" s="733">
        <f t="shared" si="13"/>
        <v>1.3262195121951219</v>
      </c>
      <c r="F15" s="437">
        <f t="shared" si="14"/>
        <v>770.20198170731703</v>
      </c>
      <c r="G15" s="437">
        <f t="shared" si="0"/>
        <v>770.20198170731703</v>
      </c>
      <c r="H15" s="733">
        <f>Gen!D20</f>
        <v>40854.970000000008</v>
      </c>
      <c r="I15" s="733">
        <f>Gen!F20</f>
        <v>0</v>
      </c>
      <c r="J15" s="772">
        <f>Gen!U20</f>
        <v>2323</v>
      </c>
      <c r="K15" s="777">
        <f>Gen!AL20</f>
        <v>0</v>
      </c>
      <c r="L15" s="768">
        <f t="shared" si="17"/>
        <v>2323</v>
      </c>
      <c r="M15" s="448">
        <f>'Water-Meter'!K55</f>
        <v>514.3942236429267</v>
      </c>
      <c r="N15" s="728">
        <f>'Water-Meter'!E15</f>
        <v>53</v>
      </c>
      <c r="O15" s="718"/>
      <c r="P15" s="726">
        <v>19032</v>
      </c>
      <c r="Q15" s="738">
        <f t="shared" si="2"/>
        <v>0</v>
      </c>
      <c r="R15" s="425">
        <f t="shared" si="5"/>
        <v>0</v>
      </c>
      <c r="S15" s="713"/>
      <c r="T15" s="714">
        <v>17126</v>
      </c>
      <c r="U15" s="738">
        <f t="shared" si="6"/>
        <v>0</v>
      </c>
      <c r="V15" s="426">
        <f t="shared" si="16"/>
        <v>0</v>
      </c>
      <c r="W15" s="713">
        <v>2.2000000000000002</v>
      </c>
      <c r="X15" s="719">
        <v>25736</v>
      </c>
      <c r="Y15" s="738">
        <f t="shared" si="8"/>
        <v>24</v>
      </c>
      <c r="Z15" s="717">
        <f t="shared" si="9"/>
        <v>52.800000000000004</v>
      </c>
      <c r="AA15" s="725">
        <f t="shared" si="10"/>
        <v>1361395.2000000002</v>
      </c>
      <c r="AB15" s="722">
        <v>41231</v>
      </c>
      <c r="AC15" s="702">
        <f t="shared" si="11"/>
        <v>49</v>
      </c>
      <c r="AD15" s="704">
        <v>207115</v>
      </c>
      <c r="AE15" s="179">
        <f>AD15-AD14</f>
        <v>44</v>
      </c>
      <c r="AF15" s="732">
        <f>'Lpg (2)'!B19*2000/85</f>
        <v>2000</v>
      </c>
      <c r="AG15" s="267">
        <f>'Lpg (2)'!C19*1000/85</f>
        <v>941.17647058823525</v>
      </c>
      <c r="AH15" s="745">
        <f>'Lpg (2)'!D19*1000/85</f>
        <v>1000</v>
      </c>
      <c r="AI15" s="735">
        <f t="shared" ref="AI15:AI35" si="18">SUM(AF15*2000)+(AG15*1000)+(AH15*1000)</f>
        <v>5941176.4705882352</v>
      </c>
      <c r="AJ15" s="427">
        <f t="shared" si="4"/>
        <v>23529.411764705554</v>
      </c>
      <c r="AK15" s="133"/>
    </row>
    <row r="16" spans="1:37" ht="18.75" x14ac:dyDescent="0.3">
      <c r="A16" s="766">
        <f>Gen!B21</f>
        <v>44146</v>
      </c>
      <c r="B16" s="424">
        <f>'Summery Report'!E15</f>
        <v>6</v>
      </c>
      <c r="C16" s="771">
        <f>Gen!C21</f>
        <v>6.4899999999999999E-2</v>
      </c>
      <c r="D16" s="733">
        <f>'Summery Report'!E15</f>
        <v>6</v>
      </c>
      <c r="E16" s="733">
        <f t="shared" si="13"/>
        <v>1.3262195121951219</v>
      </c>
      <c r="F16" s="437">
        <f t="shared" si="14"/>
        <v>504.6265243902439</v>
      </c>
      <c r="G16" s="437">
        <f t="shared" si="0"/>
        <v>504.6265243902439</v>
      </c>
      <c r="H16" s="733">
        <f>Gen!D21</f>
        <v>39872.98000000001</v>
      </c>
      <c r="I16" s="733">
        <f>Gen!F21</f>
        <v>0</v>
      </c>
      <c r="J16" s="772">
        <f>Gen!U21</f>
        <v>2283</v>
      </c>
      <c r="K16" s="777">
        <f>Gen!AL21</f>
        <v>0</v>
      </c>
      <c r="L16" s="768">
        <f t="shared" si="17"/>
        <v>2283</v>
      </c>
      <c r="M16" s="448">
        <f>'Water-Meter'!K56</f>
        <v>580.01324154465578</v>
      </c>
      <c r="N16" s="728">
        <f>'Water-Meter'!E16</f>
        <v>63</v>
      </c>
      <c r="O16" s="718"/>
      <c r="P16" s="726">
        <v>19032</v>
      </c>
      <c r="Q16" s="738">
        <f t="shared" si="2"/>
        <v>0</v>
      </c>
      <c r="R16" s="425">
        <f t="shared" si="5"/>
        <v>0</v>
      </c>
      <c r="S16" s="713"/>
      <c r="T16" s="714">
        <v>17126</v>
      </c>
      <c r="U16" s="738">
        <f t="shared" si="6"/>
        <v>0</v>
      </c>
      <c r="V16" s="426">
        <f t="shared" si="16"/>
        <v>0</v>
      </c>
      <c r="W16" s="713">
        <v>2.2000000000000002</v>
      </c>
      <c r="X16" s="719">
        <v>25760</v>
      </c>
      <c r="Y16" s="738">
        <f t="shared" si="8"/>
        <v>24</v>
      </c>
      <c r="Z16" s="717">
        <f t="shared" si="9"/>
        <v>52.800000000000004</v>
      </c>
      <c r="AA16" s="725">
        <f t="shared" si="10"/>
        <v>1362662.4000000001</v>
      </c>
      <c r="AB16" s="722">
        <v>41277</v>
      </c>
      <c r="AC16" s="702">
        <f t="shared" si="11"/>
        <v>46</v>
      </c>
      <c r="AD16" s="704">
        <v>207159</v>
      </c>
      <c r="AE16" s="179">
        <f t="shared" si="15"/>
        <v>44</v>
      </c>
      <c r="AF16" s="732">
        <f>'Lpg (2)'!B20*2000/85</f>
        <v>2000</v>
      </c>
      <c r="AG16" s="267">
        <f>'Lpg (2)'!C20*1000/85</f>
        <v>847.05882352941171</v>
      </c>
      <c r="AH16" s="745">
        <f>'Lpg (2)'!D20*1000/85</f>
        <v>1000</v>
      </c>
      <c r="AI16" s="735">
        <f t="shared" si="18"/>
        <v>5847058.823529412</v>
      </c>
      <c r="AJ16" s="427">
        <f t="shared" si="4"/>
        <v>94117.647058823146</v>
      </c>
      <c r="AK16" s="133"/>
    </row>
    <row r="17" spans="1:37" ht="18.75" x14ac:dyDescent="0.3">
      <c r="A17" s="766">
        <f>Gen!B22</f>
        <v>44147</v>
      </c>
      <c r="B17" s="424">
        <f>'Summery Report'!E16</f>
        <v>5</v>
      </c>
      <c r="C17" s="771">
        <f>Gen!C22</f>
        <v>0.05</v>
      </c>
      <c r="D17" s="733">
        <f>'Summery Report'!E16</f>
        <v>5</v>
      </c>
      <c r="E17" s="733">
        <f t="shared" si="13"/>
        <v>1.3262195121951219</v>
      </c>
      <c r="F17" s="437">
        <f t="shared" si="14"/>
        <v>617.48780487804879</v>
      </c>
      <c r="G17" s="437">
        <f t="shared" si="0"/>
        <v>617.48780487804879</v>
      </c>
      <c r="H17" s="733">
        <f>Gen!D22</f>
        <v>38906.700000000012</v>
      </c>
      <c r="I17" s="733">
        <f>Gen!F22</f>
        <v>0</v>
      </c>
      <c r="J17" s="772">
        <f>Gen!U22</f>
        <v>2328</v>
      </c>
      <c r="K17" s="777">
        <f>Gen!AL22</f>
        <v>0</v>
      </c>
      <c r="L17" s="768">
        <f t="shared" si="17"/>
        <v>2328</v>
      </c>
      <c r="M17" s="448">
        <f>'Water-Meter'!K57</f>
        <v>588.12918556425382</v>
      </c>
      <c r="N17" s="728">
        <f>'Water-Meter'!E17</f>
        <v>48</v>
      </c>
      <c r="O17" s="718"/>
      <c r="P17" s="726">
        <v>19032</v>
      </c>
      <c r="Q17" s="738">
        <f>SUM(P18-P16)</f>
        <v>0</v>
      </c>
      <c r="R17" s="425">
        <f t="shared" si="5"/>
        <v>0</v>
      </c>
      <c r="S17" s="713"/>
      <c r="T17" s="714">
        <v>17126</v>
      </c>
      <c r="U17" s="738">
        <f t="shared" si="6"/>
        <v>0</v>
      </c>
      <c r="V17" s="426">
        <f t="shared" ref="V17:V36" si="19">SUM(U17*S17)</f>
        <v>0</v>
      </c>
      <c r="W17" s="713">
        <v>2.2000000000000002</v>
      </c>
      <c r="X17" s="719">
        <v>25784</v>
      </c>
      <c r="Y17" s="738">
        <f t="shared" si="8"/>
        <v>24</v>
      </c>
      <c r="Z17" s="717">
        <f t="shared" si="9"/>
        <v>52.800000000000004</v>
      </c>
      <c r="AA17" s="725">
        <f t="shared" si="10"/>
        <v>1363929.6</v>
      </c>
      <c r="AB17" s="722">
        <v>41320</v>
      </c>
      <c r="AC17" s="702">
        <f t="shared" si="11"/>
        <v>43</v>
      </c>
      <c r="AD17" s="704">
        <v>207202</v>
      </c>
      <c r="AE17" s="179">
        <f t="shared" si="15"/>
        <v>43</v>
      </c>
      <c r="AF17" s="732">
        <f>'Lpg (2)'!B21*2000/85</f>
        <v>2000</v>
      </c>
      <c r="AG17" s="267">
        <f>'Lpg (2)'!C21*1000/85</f>
        <v>823.52941176470586</v>
      </c>
      <c r="AH17" s="745">
        <f>'Lpg (2)'!D21*1000/85</f>
        <v>1000</v>
      </c>
      <c r="AI17" s="735">
        <f t="shared" si="18"/>
        <v>5823529.4117647056</v>
      </c>
      <c r="AJ17" s="427">
        <f t="shared" si="4"/>
        <v>23529.411764706485</v>
      </c>
      <c r="AK17" s="133"/>
    </row>
    <row r="18" spans="1:37" ht="18.75" x14ac:dyDescent="0.3">
      <c r="A18" s="766">
        <f>Gen!B23</f>
        <v>44148</v>
      </c>
      <c r="B18" s="424">
        <f>'Summery Report'!E17</f>
        <v>7</v>
      </c>
      <c r="C18" s="771">
        <f>Gen!C23</f>
        <v>5.1900000000000002E-2</v>
      </c>
      <c r="D18" s="733">
        <f>'Summery Report'!E17</f>
        <v>7</v>
      </c>
      <c r="E18" s="733">
        <f t="shared" si="13"/>
        <v>1.3262195121951219</v>
      </c>
      <c r="F18" s="437">
        <f t="shared" si="14"/>
        <v>447.50435540069685</v>
      </c>
      <c r="G18" s="437">
        <f t="shared" si="0"/>
        <v>447.50435540069685</v>
      </c>
      <c r="H18" s="733">
        <f>Gen!D23</f>
        <v>37780.340000000011</v>
      </c>
      <c r="I18" s="733">
        <f>Gen!F23</f>
        <v>0</v>
      </c>
      <c r="J18" s="772">
        <f>Gen!U23</f>
        <v>2362</v>
      </c>
      <c r="K18" s="777">
        <f>Gen!AL23</f>
        <v>0</v>
      </c>
      <c r="L18" s="768">
        <f t="shared" si="17"/>
        <v>2362</v>
      </c>
      <c r="M18" s="448">
        <f>'Water-Meter'!K58</f>
        <v>555.65602316757554</v>
      </c>
      <c r="N18" s="728">
        <f>'Water-Meter'!E18</f>
        <v>62</v>
      </c>
      <c r="O18" s="718"/>
      <c r="P18" s="726">
        <v>19032</v>
      </c>
      <c r="Q18" s="738"/>
      <c r="R18" s="425">
        <f t="shared" si="5"/>
        <v>0</v>
      </c>
      <c r="S18" s="713"/>
      <c r="T18" s="714">
        <v>17126</v>
      </c>
      <c r="U18" s="738">
        <f t="shared" si="6"/>
        <v>0</v>
      </c>
      <c r="V18" s="426">
        <f t="shared" si="19"/>
        <v>0</v>
      </c>
      <c r="W18" s="713">
        <v>2.2000000000000002</v>
      </c>
      <c r="X18" s="719">
        <v>25808</v>
      </c>
      <c r="Y18" s="738">
        <f t="shared" si="8"/>
        <v>24</v>
      </c>
      <c r="Z18" s="717">
        <f t="shared" si="9"/>
        <v>52.800000000000004</v>
      </c>
      <c r="AA18" s="725">
        <f t="shared" si="10"/>
        <v>1365196.8</v>
      </c>
      <c r="AB18" s="722">
        <v>41362</v>
      </c>
      <c r="AC18" s="702">
        <f t="shared" si="11"/>
        <v>42</v>
      </c>
      <c r="AD18" s="704">
        <v>207243</v>
      </c>
      <c r="AE18" s="179">
        <f t="shared" si="15"/>
        <v>41</v>
      </c>
      <c r="AF18" s="732">
        <f>'Lpg (2)'!B22*2000/85</f>
        <v>2000</v>
      </c>
      <c r="AG18" s="267">
        <f>'Lpg (2)'!C22*1000/85</f>
        <v>717.64705882352939</v>
      </c>
      <c r="AH18" s="745">
        <f>'Lpg (2)'!D22*1000/85</f>
        <v>1000</v>
      </c>
      <c r="AI18" s="735">
        <f t="shared" si="18"/>
        <v>5717647.0588235296</v>
      </c>
      <c r="AJ18" s="427">
        <f t="shared" si="4"/>
        <v>105882.35294117592</v>
      </c>
      <c r="AK18" s="133"/>
    </row>
    <row r="19" spans="1:37" ht="18.75" x14ac:dyDescent="0.3">
      <c r="A19" s="766">
        <f>Gen!B24</f>
        <v>44149</v>
      </c>
      <c r="B19" s="424">
        <f>'Summery Report'!E18</f>
        <v>15</v>
      </c>
      <c r="C19" s="771">
        <f>Gen!C24</f>
        <v>0.18179999999999999</v>
      </c>
      <c r="D19" s="733">
        <f>'Summery Report'!E18</f>
        <v>15</v>
      </c>
      <c r="E19" s="733">
        <f t="shared" si="13"/>
        <v>1.3262195121951219</v>
      </c>
      <c r="F19" s="437">
        <f t="shared" si="14"/>
        <v>210.42682926829269</v>
      </c>
      <c r="G19" s="437">
        <f t="shared" si="0"/>
        <v>210.42682926829269</v>
      </c>
      <c r="H19" s="733">
        <f>Gen!D24</f>
        <v>36687.05000000001</v>
      </c>
      <c r="I19" s="733">
        <f>Gen!F24</f>
        <v>0</v>
      </c>
      <c r="J19" s="772">
        <f>Gen!U24</f>
        <v>2380</v>
      </c>
      <c r="K19" s="777">
        <f>Gen!AL24</f>
        <v>0</v>
      </c>
      <c r="L19" s="768">
        <f t="shared" si="17"/>
        <v>2380</v>
      </c>
      <c r="M19" s="448">
        <f>'Water-Meter'!K59</f>
        <v>530.42896354968343</v>
      </c>
      <c r="N19" s="728">
        <f>'Water-Meter'!E19</f>
        <v>52</v>
      </c>
      <c r="O19" s="718"/>
      <c r="P19" s="726">
        <v>19032</v>
      </c>
      <c r="Q19" s="738"/>
      <c r="R19" s="425">
        <f t="shared" si="5"/>
        <v>0</v>
      </c>
      <c r="S19" s="713"/>
      <c r="T19" s="714">
        <v>17126</v>
      </c>
      <c r="U19" s="738">
        <f t="shared" si="6"/>
        <v>0</v>
      </c>
      <c r="V19" s="426">
        <f t="shared" si="19"/>
        <v>0</v>
      </c>
      <c r="W19" s="713">
        <v>2.2000000000000002</v>
      </c>
      <c r="X19" s="719">
        <v>25832</v>
      </c>
      <c r="Y19" s="738">
        <f t="shared" si="8"/>
        <v>24</v>
      </c>
      <c r="Z19" s="717">
        <f t="shared" si="9"/>
        <v>52.800000000000004</v>
      </c>
      <c r="AA19" s="725">
        <f t="shared" si="10"/>
        <v>1366464</v>
      </c>
      <c r="AB19" s="722">
        <v>41404</v>
      </c>
      <c r="AC19" s="702">
        <f t="shared" si="11"/>
        <v>42</v>
      </c>
      <c r="AD19" s="704">
        <v>207288</v>
      </c>
      <c r="AE19" s="179">
        <f t="shared" si="15"/>
        <v>45</v>
      </c>
      <c r="AF19" s="732">
        <f>'Lpg (2)'!B23*2000/85</f>
        <v>2000</v>
      </c>
      <c r="AG19" s="267">
        <f>'Lpg (2)'!C23*1000/85</f>
        <v>670.58823529411768</v>
      </c>
      <c r="AH19" s="745">
        <f>'Lpg (2)'!D23*1000/85</f>
        <v>1000</v>
      </c>
      <c r="AI19" s="735">
        <f t="shared" si="18"/>
        <v>5670588.2352941176</v>
      </c>
      <c r="AJ19" s="427">
        <f t="shared" si="4"/>
        <v>47058.823529412039</v>
      </c>
      <c r="AK19" s="133"/>
    </row>
    <row r="20" spans="1:37" ht="18.75" x14ac:dyDescent="0.3">
      <c r="A20" s="766">
        <f>Gen!B25</f>
        <v>44150</v>
      </c>
      <c r="B20" s="424">
        <f>'Summery Report'!E19</f>
        <v>13</v>
      </c>
      <c r="C20" s="771">
        <f>Gen!C25</f>
        <v>0.1429</v>
      </c>
      <c r="D20" s="733">
        <f>'Summery Report'!E19</f>
        <v>13</v>
      </c>
      <c r="E20" s="733">
        <f t="shared" si="13"/>
        <v>1.3262195121951219</v>
      </c>
      <c r="F20" s="437">
        <f t="shared" si="14"/>
        <v>238.41346153846155</v>
      </c>
      <c r="G20" s="437">
        <f t="shared" si="0"/>
        <v>238.41346153846155</v>
      </c>
      <c r="H20" s="733">
        <f>Gen!D25</f>
        <v>35724.160000000011</v>
      </c>
      <c r="I20" s="733">
        <f>Gen!F25</f>
        <v>0</v>
      </c>
      <c r="J20" s="772">
        <f>Gen!U25</f>
        <v>2337</v>
      </c>
      <c r="K20" s="777">
        <f>Gen!AL25</f>
        <v>0</v>
      </c>
      <c r="L20" s="768">
        <f t="shared" si="17"/>
        <v>2337</v>
      </c>
      <c r="M20" s="448">
        <f>'Water-Meter'!K60</f>
        <v>493.8878709499777</v>
      </c>
      <c r="N20" s="728">
        <f>'Water-Meter'!E20</f>
        <v>78</v>
      </c>
      <c r="O20" s="718"/>
      <c r="P20" s="726">
        <v>19032</v>
      </c>
      <c r="Q20" s="738">
        <f t="shared" si="2"/>
        <v>0</v>
      </c>
      <c r="R20" s="425">
        <f t="shared" si="5"/>
        <v>0</v>
      </c>
      <c r="S20" s="713"/>
      <c r="T20" s="714">
        <v>17126</v>
      </c>
      <c r="U20" s="738">
        <f t="shared" si="6"/>
        <v>0</v>
      </c>
      <c r="V20" s="426">
        <f t="shared" si="19"/>
        <v>0</v>
      </c>
      <c r="W20" s="713">
        <v>2</v>
      </c>
      <c r="X20" s="719">
        <v>25856</v>
      </c>
      <c r="Y20" s="738">
        <f t="shared" si="8"/>
        <v>24</v>
      </c>
      <c r="Z20" s="717">
        <f t="shared" si="9"/>
        <v>48</v>
      </c>
      <c r="AA20" s="725">
        <f t="shared" si="10"/>
        <v>1243392</v>
      </c>
      <c r="AB20" s="722">
        <v>41443</v>
      </c>
      <c r="AC20" s="702">
        <f t="shared" si="11"/>
        <v>39</v>
      </c>
      <c r="AD20" s="704">
        <v>207331</v>
      </c>
      <c r="AE20" s="179">
        <f t="shared" si="15"/>
        <v>43</v>
      </c>
      <c r="AF20" s="732">
        <f>'Lpg (2)'!B24*2000/85</f>
        <v>2000</v>
      </c>
      <c r="AG20" s="267">
        <f>'Lpg (2)'!C24*1000/85</f>
        <v>623.52941176470586</v>
      </c>
      <c r="AH20" s="745">
        <f>'Lpg (2)'!D24*1000/85</f>
        <v>1000</v>
      </c>
      <c r="AI20" s="735">
        <f t="shared" si="18"/>
        <v>5623529.4117647056</v>
      </c>
      <c r="AJ20" s="427">
        <f t="shared" si="4"/>
        <v>47058.823529412039</v>
      </c>
      <c r="AK20" s="133"/>
    </row>
    <row r="21" spans="1:37" ht="18.75" x14ac:dyDescent="0.3">
      <c r="A21" s="766">
        <f>Gen!B26</f>
        <v>44151</v>
      </c>
      <c r="B21" s="424">
        <f>'Summery Report'!E20</f>
        <v>12</v>
      </c>
      <c r="C21" s="771">
        <f>Gen!C26</f>
        <v>0.12989999999999999</v>
      </c>
      <c r="D21" s="733">
        <f>'Summery Report'!E20</f>
        <v>12</v>
      </c>
      <c r="E21" s="733">
        <f t="shared" si="13"/>
        <v>1.3262195121951219</v>
      </c>
      <c r="F21" s="437">
        <f t="shared" si="14"/>
        <v>272.75914634146341</v>
      </c>
      <c r="G21" s="437">
        <f t="shared" si="0"/>
        <v>272.75914634146341</v>
      </c>
      <c r="H21" s="733">
        <f>Gen!D26</f>
        <v>34509.830000000009</v>
      </c>
      <c r="I21" s="733">
        <f>Gen!F26</f>
        <v>0</v>
      </c>
      <c r="J21" s="772">
        <f>Gen!U26</f>
        <v>2468</v>
      </c>
      <c r="K21" s="777">
        <f>Gen!AL26</f>
        <v>0</v>
      </c>
      <c r="L21" s="768">
        <f t="shared" si="17"/>
        <v>2468</v>
      </c>
      <c r="M21" s="448">
        <f>'Water-Meter'!K61</f>
        <v>478.03633007421178</v>
      </c>
      <c r="N21" s="728">
        <f>'Water-Meter'!E21</f>
        <v>52</v>
      </c>
      <c r="O21" s="718"/>
      <c r="P21" s="726">
        <v>19032</v>
      </c>
      <c r="Q21" s="738">
        <f t="shared" si="2"/>
        <v>0</v>
      </c>
      <c r="R21" s="425">
        <f t="shared" si="5"/>
        <v>0</v>
      </c>
      <c r="S21" s="713"/>
      <c r="T21" s="714">
        <v>17126</v>
      </c>
      <c r="U21" s="738">
        <f>T22-T20</f>
        <v>0</v>
      </c>
      <c r="V21" s="426">
        <f t="shared" si="19"/>
        <v>0</v>
      </c>
      <c r="W21" s="713">
        <v>2</v>
      </c>
      <c r="X21" s="719">
        <v>25880</v>
      </c>
      <c r="Y21" s="738">
        <f t="shared" si="8"/>
        <v>24</v>
      </c>
      <c r="Z21" s="717">
        <f t="shared" si="9"/>
        <v>48</v>
      </c>
      <c r="AA21" s="725">
        <f t="shared" si="10"/>
        <v>1244544</v>
      </c>
      <c r="AB21" s="722">
        <v>41480</v>
      </c>
      <c r="AC21" s="702">
        <f t="shared" si="11"/>
        <v>37</v>
      </c>
      <c r="AD21" s="704">
        <v>207383</v>
      </c>
      <c r="AE21" s="179">
        <f t="shared" si="15"/>
        <v>52</v>
      </c>
      <c r="AF21" s="732">
        <f>'Lpg (2)'!B25*2000/85</f>
        <v>2000</v>
      </c>
      <c r="AG21" s="267">
        <f>'Lpg (2)'!C25*1000/85</f>
        <v>529.41176470588232</v>
      </c>
      <c r="AH21" s="745">
        <f>'Lpg (2)'!D25*1000/85</f>
        <v>1000</v>
      </c>
      <c r="AI21" s="735">
        <f t="shared" si="18"/>
        <v>5529411.7647058824</v>
      </c>
      <c r="AJ21" s="427">
        <f t="shared" si="4"/>
        <v>94117.647058823146</v>
      </c>
      <c r="AK21" s="133"/>
    </row>
    <row r="22" spans="1:37" ht="18.75" x14ac:dyDescent="0.3">
      <c r="A22" s="766">
        <f>Gen!B27</f>
        <v>44152</v>
      </c>
      <c r="B22" s="424">
        <f>'Summery Report'!E21</f>
        <v>0</v>
      </c>
      <c r="C22" s="771">
        <f>Gen!C27</f>
        <v>0.03</v>
      </c>
      <c r="D22" s="733">
        <f>'Summery Report'!E21</f>
        <v>0</v>
      </c>
      <c r="E22" s="733">
        <f t="shared" si="13"/>
        <v>1.3262195121951219</v>
      </c>
      <c r="F22" s="437" t="e">
        <f t="shared" si="14"/>
        <v>#DIV/0!</v>
      </c>
      <c r="G22" s="437" t="e">
        <f t="shared" si="0"/>
        <v>#DIV/0!</v>
      </c>
      <c r="H22" s="733">
        <f>Gen!D27</f>
        <v>33312.670000000006</v>
      </c>
      <c r="I22" s="733">
        <f>Gen!F27</f>
        <v>0</v>
      </c>
      <c r="J22" s="772">
        <f>Gen!U27</f>
        <v>2266</v>
      </c>
      <c r="K22" s="777">
        <f>Gen!AL27</f>
        <v>0</v>
      </c>
      <c r="L22" s="768">
        <f t="shared" si="17"/>
        <v>2266</v>
      </c>
      <c r="M22" s="448">
        <f>'Water-Meter'!K62</f>
        <v>415.70892836436343</v>
      </c>
      <c r="N22" s="728">
        <f>'Water-Meter'!E22</f>
        <v>53</v>
      </c>
      <c r="O22" s="718"/>
      <c r="P22" s="726">
        <v>19032</v>
      </c>
      <c r="Q22" s="738">
        <f t="shared" si="2"/>
        <v>0</v>
      </c>
      <c r="R22" s="425">
        <f t="shared" si="5"/>
        <v>0</v>
      </c>
      <c r="S22" s="713"/>
      <c r="T22" s="714">
        <v>17126</v>
      </c>
      <c r="U22" s="738">
        <f t="shared" ref="U22:U23" si="20">T23-T21</f>
        <v>0</v>
      </c>
      <c r="V22" s="426">
        <f t="shared" si="19"/>
        <v>0</v>
      </c>
      <c r="W22" s="713">
        <v>2</v>
      </c>
      <c r="X22" s="719">
        <v>25904</v>
      </c>
      <c r="Y22" s="738">
        <f t="shared" si="8"/>
        <v>24</v>
      </c>
      <c r="Z22" s="717">
        <f t="shared" si="9"/>
        <v>48</v>
      </c>
      <c r="AA22" s="725">
        <f t="shared" si="10"/>
        <v>1245696</v>
      </c>
      <c r="AB22" s="722">
        <v>41512</v>
      </c>
      <c r="AC22" s="702">
        <f t="shared" si="11"/>
        <v>32</v>
      </c>
      <c r="AD22" s="704">
        <v>207393</v>
      </c>
      <c r="AE22" s="179">
        <f t="shared" si="15"/>
        <v>10</v>
      </c>
      <c r="AF22" s="732">
        <f>'Lpg (2)'!B26*2000/85</f>
        <v>2000</v>
      </c>
      <c r="AG22" s="267">
        <f>'Lpg (2)'!C26*1000/85</f>
        <v>494.11764705882354</v>
      </c>
      <c r="AH22" s="745">
        <f>'Lpg (2)'!D26*1000/85</f>
        <v>1000</v>
      </c>
      <c r="AI22" s="735">
        <f t="shared" si="18"/>
        <v>5494117.6470588231</v>
      </c>
      <c r="AJ22" s="427">
        <f t="shared" si="4"/>
        <v>35294.117647059262</v>
      </c>
      <c r="AK22" s="133"/>
    </row>
    <row r="23" spans="1:37" ht="18.75" x14ac:dyDescent="0.3">
      <c r="A23" s="766">
        <f>Gen!B28</f>
        <v>44153</v>
      </c>
      <c r="B23" s="424">
        <f>'Summery Report'!E22</f>
        <v>0</v>
      </c>
      <c r="C23" s="771">
        <f>Gen!C28</f>
        <v>0.104</v>
      </c>
      <c r="D23" s="733">
        <f>'Summery Report'!E22</f>
        <v>0</v>
      </c>
      <c r="E23" s="733">
        <f t="shared" si="13"/>
        <v>1.3262195121951219</v>
      </c>
      <c r="F23" s="437" t="e">
        <f t="shared" si="14"/>
        <v>#DIV/0!</v>
      </c>
      <c r="G23" s="437" t="e">
        <f t="shared" si="0"/>
        <v>#DIV/0!</v>
      </c>
      <c r="H23" s="733">
        <f>Gen!D28</f>
        <v>47383.69</v>
      </c>
      <c r="I23" s="733">
        <f>Gen!F28</f>
        <v>15000</v>
      </c>
      <c r="J23" s="772">
        <f>Gen!U28</f>
        <v>2398</v>
      </c>
      <c r="K23" s="777">
        <f>Gen!AL28</f>
        <v>0</v>
      </c>
      <c r="L23" s="768">
        <f t="shared" si="17"/>
        <v>2398</v>
      </c>
      <c r="M23" s="448">
        <f>'Water-Meter'!K63</f>
        <v>441.45293251455985</v>
      </c>
      <c r="N23" s="728">
        <f>'Water-Meter'!E23</f>
        <v>51</v>
      </c>
      <c r="O23" s="718"/>
      <c r="P23" s="726">
        <v>19032</v>
      </c>
      <c r="Q23" s="738">
        <f t="shared" si="2"/>
        <v>0</v>
      </c>
      <c r="R23" s="425">
        <f t="shared" si="5"/>
        <v>0</v>
      </c>
      <c r="S23" s="713"/>
      <c r="T23" s="714">
        <v>17126</v>
      </c>
      <c r="U23" s="738">
        <f t="shared" si="20"/>
        <v>0</v>
      </c>
      <c r="V23" s="426">
        <f t="shared" si="19"/>
        <v>0</v>
      </c>
      <c r="W23" s="713">
        <v>2</v>
      </c>
      <c r="X23" s="719">
        <v>25928</v>
      </c>
      <c r="Y23" s="738">
        <f t="shared" si="8"/>
        <v>24</v>
      </c>
      <c r="Z23" s="717">
        <f t="shared" si="9"/>
        <v>48</v>
      </c>
      <c r="AA23" s="725">
        <f t="shared" si="10"/>
        <v>1246704</v>
      </c>
      <c r="AB23" s="722">
        <v>41540</v>
      </c>
      <c r="AC23" s="702">
        <f t="shared" si="11"/>
        <v>28</v>
      </c>
      <c r="AD23" s="705">
        <v>207406</v>
      </c>
      <c r="AE23" s="179">
        <f t="shared" si="15"/>
        <v>13</v>
      </c>
      <c r="AF23" s="732">
        <f>'Lpg (2)'!B27*2000/85</f>
        <v>2000</v>
      </c>
      <c r="AG23" s="267">
        <f>'Lpg (2)'!C27*1000/85</f>
        <v>411.76470588235293</v>
      </c>
      <c r="AH23" s="745">
        <f>'Lpg (2)'!D27*1000/85</f>
        <v>1000</v>
      </c>
      <c r="AI23" s="735">
        <f t="shared" si="18"/>
        <v>5411764.7058823528</v>
      </c>
      <c r="AJ23" s="427">
        <f t="shared" si="4"/>
        <v>82352.941176470369</v>
      </c>
      <c r="AK23" s="133"/>
    </row>
    <row r="24" spans="1:37" ht="18.75" x14ac:dyDescent="0.3">
      <c r="A24" s="766">
        <f>Gen!B29</f>
        <v>44154</v>
      </c>
      <c r="B24" s="424">
        <f>'Summery Report'!E23</f>
        <v>0</v>
      </c>
      <c r="C24" s="771">
        <f>Gen!C29</f>
        <v>5.1999999999999998E-2</v>
      </c>
      <c r="D24" s="733">
        <f>'Summery Report'!E23</f>
        <v>0</v>
      </c>
      <c r="E24" s="733">
        <f t="shared" si="13"/>
        <v>1.3262195121951219</v>
      </c>
      <c r="F24" s="437" t="e">
        <f t="shared" si="14"/>
        <v>#DIV/0!</v>
      </c>
      <c r="G24" s="437" t="e">
        <f t="shared" si="0"/>
        <v>#DIV/0!</v>
      </c>
      <c r="H24" s="733">
        <f>Gen!D29</f>
        <v>46363.86</v>
      </c>
      <c r="I24" s="733">
        <f>Gen!F29</f>
        <v>0</v>
      </c>
      <c r="J24" s="772">
        <f>Gen!U29</f>
        <v>2587</v>
      </c>
      <c r="K24" s="777">
        <f>Gen!AL29</f>
        <v>0</v>
      </c>
      <c r="L24" s="768">
        <f t="shared" si="17"/>
        <v>2587</v>
      </c>
      <c r="M24" s="448">
        <f>'Water-Meter'!K64</f>
        <v>419.12192152537784</v>
      </c>
      <c r="N24" s="728">
        <f>'Water-Meter'!E24</f>
        <v>127</v>
      </c>
      <c r="O24" s="718"/>
      <c r="P24" s="726">
        <v>19032</v>
      </c>
      <c r="Q24" s="738">
        <f t="shared" si="2"/>
        <v>0</v>
      </c>
      <c r="R24" s="425">
        <f t="shared" si="5"/>
        <v>0</v>
      </c>
      <c r="S24" s="713"/>
      <c r="T24" s="714">
        <v>17126</v>
      </c>
      <c r="U24" s="738">
        <f t="shared" si="6"/>
        <v>0</v>
      </c>
      <c r="V24" s="426">
        <f t="shared" si="19"/>
        <v>0</v>
      </c>
      <c r="W24" s="713">
        <v>1.5</v>
      </c>
      <c r="X24" s="719">
        <v>25952</v>
      </c>
      <c r="Y24" s="738">
        <f t="shared" si="8"/>
        <v>24</v>
      </c>
      <c r="Z24" s="717">
        <f t="shared" si="9"/>
        <v>36</v>
      </c>
      <c r="AA24" s="725">
        <f t="shared" si="10"/>
        <v>936000</v>
      </c>
      <c r="AB24" s="722">
        <v>41565</v>
      </c>
      <c r="AC24" s="702">
        <f t="shared" si="11"/>
        <v>25</v>
      </c>
      <c r="AD24" s="705">
        <v>207441</v>
      </c>
      <c r="AE24" s="179">
        <f t="shared" si="15"/>
        <v>35</v>
      </c>
      <c r="AF24" s="732">
        <f>'Lpg (2)'!B28*2000/85</f>
        <v>2000</v>
      </c>
      <c r="AG24" s="267">
        <f>'Lpg (2)'!C28*1000/85</f>
        <v>364.70588235294116</v>
      </c>
      <c r="AH24" s="745">
        <f>'Lpg (2)'!D28*1000/85</f>
        <v>1000</v>
      </c>
      <c r="AI24" s="735">
        <f t="shared" si="18"/>
        <v>5364705.8823529407</v>
      </c>
      <c r="AJ24" s="427">
        <f t="shared" si="4"/>
        <v>47058.823529412039</v>
      </c>
      <c r="AK24" s="133"/>
    </row>
    <row r="25" spans="1:37" ht="18.75" x14ac:dyDescent="0.3">
      <c r="A25" s="766">
        <f>Gen!B30</f>
        <v>44155</v>
      </c>
      <c r="B25" s="424">
        <f>'Summery Report'!E24</f>
        <v>0</v>
      </c>
      <c r="C25" s="771">
        <f>Gen!C30</f>
        <v>5.1999999999999998E-2</v>
      </c>
      <c r="D25" s="733">
        <f>'Summery Report'!E24</f>
        <v>0</v>
      </c>
      <c r="E25" s="733">
        <f t="shared" si="13"/>
        <v>1.3262195121951219</v>
      </c>
      <c r="F25" s="437" t="e">
        <f t="shared" si="14"/>
        <v>#DIV/0!</v>
      </c>
      <c r="G25" s="437" t="e">
        <f t="shared" si="0"/>
        <v>#DIV/0!</v>
      </c>
      <c r="H25" s="733">
        <f>Gen!D30</f>
        <v>45244.14</v>
      </c>
      <c r="I25" s="733">
        <f>Gen!F30</f>
        <v>0</v>
      </c>
      <c r="J25" s="772">
        <f>Gen!U30</f>
        <v>2592</v>
      </c>
      <c r="K25" s="777">
        <f>Gen!AL30</f>
        <v>0</v>
      </c>
      <c r="L25" s="768">
        <f t="shared" si="17"/>
        <v>2592</v>
      </c>
      <c r="M25" s="448">
        <f>'Water-Meter'!K65</f>
        <v>384.22555466491303</v>
      </c>
      <c r="N25" s="728">
        <f>'Water-Meter'!E25</f>
        <v>46</v>
      </c>
      <c r="O25" s="718"/>
      <c r="P25" s="726">
        <v>19032</v>
      </c>
      <c r="Q25" s="738">
        <f t="shared" si="2"/>
        <v>0</v>
      </c>
      <c r="R25" s="425">
        <f t="shared" si="5"/>
        <v>0</v>
      </c>
      <c r="S25" s="713"/>
      <c r="T25" s="714">
        <v>17126</v>
      </c>
      <c r="U25" s="738">
        <f t="shared" si="6"/>
        <v>0</v>
      </c>
      <c r="V25" s="426">
        <f t="shared" si="19"/>
        <v>0</v>
      </c>
      <c r="W25" s="713">
        <v>1.5</v>
      </c>
      <c r="X25" s="719">
        <v>25973</v>
      </c>
      <c r="Y25" s="738">
        <f t="shared" si="8"/>
        <v>21</v>
      </c>
      <c r="Z25" s="717">
        <f t="shared" si="9"/>
        <v>31.5</v>
      </c>
      <c r="AA25" s="725">
        <f t="shared" si="10"/>
        <v>819000</v>
      </c>
      <c r="AB25" s="722">
        <v>41590</v>
      </c>
      <c r="AC25" s="702">
        <f t="shared" si="11"/>
        <v>25</v>
      </c>
      <c r="AD25" s="705">
        <v>207478</v>
      </c>
      <c r="AE25" s="179">
        <f t="shared" si="15"/>
        <v>37</v>
      </c>
      <c r="AF25" s="732">
        <f>'Lpg (2)'!B29*2000/85</f>
        <v>2000</v>
      </c>
      <c r="AG25" s="267">
        <f>'Lpg (2)'!C29*1000/85</f>
        <v>294.11764705882354</v>
      </c>
      <c r="AH25" s="745">
        <f>'Lpg (2)'!D29*1000/85</f>
        <v>1000</v>
      </c>
      <c r="AI25" s="735">
        <f t="shared" si="18"/>
        <v>5294117.6470588231</v>
      </c>
      <c r="AJ25" s="427">
        <f t="shared" si="4"/>
        <v>70588.235294117592</v>
      </c>
      <c r="AK25" s="133"/>
    </row>
    <row r="26" spans="1:37" ht="18.75" x14ac:dyDescent="0.3">
      <c r="A26" s="766">
        <f>Gen!B31</f>
        <v>44156</v>
      </c>
      <c r="B26" s="424">
        <f>'Summery Report'!E25</f>
        <v>0</v>
      </c>
      <c r="C26" s="771">
        <f>Gen!C31</f>
        <v>6.5000000000000002E-2</v>
      </c>
      <c r="D26" s="733">
        <f>'Summery Report'!E25</f>
        <v>0</v>
      </c>
      <c r="E26" s="733">
        <f t="shared" si="13"/>
        <v>1.3262195121951219</v>
      </c>
      <c r="F26" s="437" t="e">
        <f>SUM(J26*E26)/D26</f>
        <v>#DIV/0!</v>
      </c>
      <c r="G26" s="437" t="e">
        <f t="shared" si="0"/>
        <v>#DIV/0!</v>
      </c>
      <c r="H26" s="733">
        <f>Gen!D31</f>
        <v>44239.08</v>
      </c>
      <c r="I26" s="733">
        <f>Gen!F31</f>
        <v>0</v>
      </c>
      <c r="J26" s="772">
        <f>Gen!U31</f>
        <v>2673</v>
      </c>
      <c r="K26" s="777">
        <f>Gen!AL31</f>
        <v>0</v>
      </c>
      <c r="L26" s="768">
        <f t="shared" si="17"/>
        <v>2673</v>
      </c>
      <c r="M26" s="448">
        <f>'Water-Meter'!K66</f>
        <v>408.37459069201998</v>
      </c>
      <c r="N26" s="728">
        <f>'Water-Meter'!E26</f>
        <v>47</v>
      </c>
      <c r="O26" s="718"/>
      <c r="P26" s="726">
        <v>19032</v>
      </c>
      <c r="Q26" s="738">
        <f t="shared" si="2"/>
        <v>0</v>
      </c>
      <c r="R26" s="425">
        <f t="shared" si="5"/>
        <v>0</v>
      </c>
      <c r="S26" s="713"/>
      <c r="T26" s="714">
        <v>17126</v>
      </c>
      <c r="U26" s="738">
        <f t="shared" si="6"/>
        <v>0</v>
      </c>
      <c r="V26" s="426">
        <f t="shared" si="19"/>
        <v>0</v>
      </c>
      <c r="W26" s="713">
        <v>0.9</v>
      </c>
      <c r="X26" s="719">
        <v>26000</v>
      </c>
      <c r="Y26" s="738">
        <f t="shared" si="8"/>
        <v>27</v>
      </c>
      <c r="Z26" s="717">
        <f t="shared" si="9"/>
        <v>24.3</v>
      </c>
      <c r="AA26" s="725">
        <f t="shared" si="10"/>
        <v>632286</v>
      </c>
      <c r="AB26" s="722">
        <v>41613</v>
      </c>
      <c r="AC26" s="702">
        <f t="shared" si="11"/>
        <v>23</v>
      </c>
      <c r="AD26" s="705">
        <v>207513</v>
      </c>
      <c r="AE26" s="179">
        <f t="shared" si="15"/>
        <v>35</v>
      </c>
      <c r="AF26" s="732">
        <f>'Lpg (2)'!B30*2000/85</f>
        <v>2000</v>
      </c>
      <c r="AG26" s="267">
        <f>'Lpg (2)'!C30*1000/85</f>
        <v>235.29411764705881</v>
      </c>
      <c r="AH26" s="745">
        <f>'Lpg (2)'!D30*1000/85</f>
        <v>1000</v>
      </c>
      <c r="AI26" s="735">
        <f t="shared" si="18"/>
        <v>5235294.1176470593</v>
      </c>
      <c r="AJ26" s="427">
        <f t="shared" si="4"/>
        <v>58823.529411763884</v>
      </c>
      <c r="AK26" s="133"/>
    </row>
    <row r="27" spans="1:37" ht="18.75" x14ac:dyDescent="0.3">
      <c r="A27" s="766">
        <f>Gen!B32</f>
        <v>44157</v>
      </c>
      <c r="B27" s="424">
        <f>'Summery Report'!E26</f>
        <v>0</v>
      </c>
      <c r="C27" s="771">
        <f>Gen!C32</f>
        <v>0.1</v>
      </c>
      <c r="D27" s="733">
        <f>'Summery Report'!E26</f>
        <v>0</v>
      </c>
      <c r="E27" s="733">
        <f t="shared" si="13"/>
        <v>1.3262195121951219</v>
      </c>
      <c r="F27" s="437" t="e">
        <f t="shared" si="14"/>
        <v>#DIV/0!</v>
      </c>
      <c r="G27" s="437" t="e">
        <f t="shared" si="0"/>
        <v>#DIV/0!</v>
      </c>
      <c r="H27" s="733">
        <f>Gen!D32</f>
        <v>42936.25</v>
      </c>
      <c r="I27" s="733">
        <f>Gen!F32</f>
        <v>0</v>
      </c>
      <c r="J27" s="772">
        <f>Gen!U32</f>
        <v>2585</v>
      </c>
      <c r="K27" s="777">
        <f>Gen!AL32</f>
        <v>0</v>
      </c>
      <c r="L27" s="768">
        <f t="shared" si="17"/>
        <v>2585</v>
      </c>
      <c r="M27" s="448">
        <f>'Water-Meter'!K67</f>
        <v>467.96763855898985</v>
      </c>
      <c r="N27" s="728">
        <f>'Water-Meter'!E27</f>
        <v>51</v>
      </c>
      <c r="O27" s="718"/>
      <c r="P27" s="726">
        <v>19032</v>
      </c>
      <c r="Q27" s="738">
        <f t="shared" si="2"/>
        <v>0</v>
      </c>
      <c r="R27" s="425">
        <f t="shared" si="5"/>
        <v>0</v>
      </c>
      <c r="S27" s="713"/>
      <c r="T27" s="714">
        <v>17126</v>
      </c>
      <c r="U27" s="738">
        <f t="shared" si="6"/>
        <v>0</v>
      </c>
      <c r="V27" s="426">
        <f t="shared" si="19"/>
        <v>0</v>
      </c>
      <c r="W27" s="713">
        <v>0.9</v>
      </c>
      <c r="X27" s="719">
        <v>26000</v>
      </c>
      <c r="Y27" s="738">
        <f t="shared" si="8"/>
        <v>0</v>
      </c>
      <c r="Z27" s="717">
        <f t="shared" si="9"/>
        <v>0</v>
      </c>
      <c r="AA27" s="725">
        <f t="shared" si="10"/>
        <v>0</v>
      </c>
      <c r="AB27" s="722">
        <v>41613</v>
      </c>
      <c r="AC27" s="702">
        <f t="shared" si="11"/>
        <v>0</v>
      </c>
      <c r="AD27" s="705">
        <v>207548</v>
      </c>
      <c r="AE27" s="179">
        <f t="shared" si="15"/>
        <v>35</v>
      </c>
      <c r="AF27" s="732">
        <f>'Lpg (2)'!B31*2000/85</f>
        <v>2000</v>
      </c>
      <c r="AG27" s="267">
        <f>'Lpg (2)'!C31*1000/85</f>
        <v>176.47058823529412</v>
      </c>
      <c r="AH27" s="745">
        <f>'Lpg (2)'!D31*1000/85</f>
        <v>1000</v>
      </c>
      <c r="AI27" s="735">
        <f t="shared" si="18"/>
        <v>5176470.5882352944</v>
      </c>
      <c r="AJ27" s="427">
        <f t="shared" si="4"/>
        <v>58823.529411764815</v>
      </c>
      <c r="AK27" s="133"/>
    </row>
    <row r="28" spans="1:37" ht="18.75" x14ac:dyDescent="0.3">
      <c r="A28" s="766">
        <f>Gen!B33</f>
        <v>44158</v>
      </c>
      <c r="B28" s="424">
        <f>'Summery Report'!E27</f>
        <v>0</v>
      </c>
      <c r="C28" s="771">
        <f>Gen!C33</f>
        <v>6.5000000000000002E-2</v>
      </c>
      <c r="D28" s="733">
        <f>'Summery Report'!E27</f>
        <v>0</v>
      </c>
      <c r="E28" s="733">
        <f t="shared" si="13"/>
        <v>1.3262195121951219</v>
      </c>
      <c r="F28" s="437" t="e">
        <f t="shared" si="14"/>
        <v>#DIV/0!</v>
      </c>
      <c r="G28" s="437" t="e">
        <f t="shared" si="0"/>
        <v>#DIV/0!</v>
      </c>
      <c r="H28" s="733">
        <f>Gen!D33</f>
        <v>41883.06</v>
      </c>
      <c r="I28" s="733">
        <f>Gen!F33</f>
        <v>0</v>
      </c>
      <c r="J28" s="772">
        <f>Gen!U33</f>
        <v>2587</v>
      </c>
      <c r="K28" s="777">
        <f>Gen!AL33</f>
        <v>0</v>
      </c>
      <c r="L28" s="768">
        <f t="shared" si="17"/>
        <v>2587</v>
      </c>
      <c r="M28" s="448">
        <f>'Water-Meter'!K68</f>
        <v>560.37328241106434</v>
      </c>
      <c r="N28" s="728">
        <f>'Water-Meter'!E28</f>
        <v>61</v>
      </c>
      <c r="O28" s="718"/>
      <c r="P28" s="726">
        <v>19032</v>
      </c>
      <c r="Q28" s="738">
        <f t="shared" si="2"/>
        <v>0</v>
      </c>
      <c r="R28" s="425">
        <f t="shared" si="5"/>
        <v>0</v>
      </c>
      <c r="S28" s="713"/>
      <c r="T28" s="714">
        <v>17126</v>
      </c>
      <c r="U28" s="738">
        <f t="shared" si="6"/>
        <v>0</v>
      </c>
      <c r="V28" s="426">
        <f t="shared" si="19"/>
        <v>0</v>
      </c>
      <c r="W28" s="713">
        <v>0.9</v>
      </c>
      <c r="X28" s="719">
        <v>26020</v>
      </c>
      <c r="Y28" s="738">
        <f t="shared" si="8"/>
        <v>20</v>
      </c>
      <c r="Z28" s="717">
        <f t="shared" si="9"/>
        <v>18</v>
      </c>
      <c r="AA28" s="725">
        <f t="shared" si="10"/>
        <v>469206</v>
      </c>
      <c r="AB28" s="722">
        <v>41637</v>
      </c>
      <c r="AC28" s="702">
        <f t="shared" ref="AC28:AC37" si="21">SUM(AB28-AB27)</f>
        <v>24</v>
      </c>
      <c r="AD28" s="705">
        <v>207584</v>
      </c>
      <c r="AE28" s="179">
        <f t="shared" si="15"/>
        <v>36</v>
      </c>
      <c r="AF28" s="732">
        <f>'Lpg (2)'!B32*2000/85</f>
        <v>2000</v>
      </c>
      <c r="AG28" s="267">
        <f>'Lpg (2)'!C32*1000/85</f>
        <v>129.41176470588235</v>
      </c>
      <c r="AH28" s="745">
        <f>'Lpg (2)'!D32*1000/85</f>
        <v>1000</v>
      </c>
      <c r="AI28" s="735">
        <f t="shared" si="18"/>
        <v>5129411.7647058824</v>
      </c>
      <c r="AJ28" s="427">
        <f t="shared" si="4"/>
        <v>47058.823529412039</v>
      </c>
      <c r="AK28" s="133"/>
    </row>
    <row r="29" spans="1:37" ht="18.75" x14ac:dyDescent="0.3">
      <c r="A29" s="766">
        <f>Gen!B34</f>
        <v>44159</v>
      </c>
      <c r="B29" s="424">
        <f>'Summery Report'!E28</f>
        <v>0</v>
      </c>
      <c r="C29" s="771">
        <f>Gen!C34</f>
        <v>6.5000000000000002E-2</v>
      </c>
      <c r="D29" s="733">
        <f>'Summery Report'!E28</f>
        <v>0</v>
      </c>
      <c r="E29" s="733">
        <f t="shared" si="13"/>
        <v>1.3262195121951219</v>
      </c>
      <c r="F29" s="437" t="e">
        <f t="shared" si="14"/>
        <v>#DIV/0!</v>
      </c>
      <c r="G29" s="437" t="e">
        <f t="shared" si="0"/>
        <v>#DIV/0!</v>
      </c>
      <c r="H29" s="733">
        <f>Gen!D34</f>
        <v>40808.22</v>
      </c>
      <c r="I29" s="733">
        <f>Gen!F34</f>
        <v>0</v>
      </c>
      <c r="J29" s="772">
        <f>Gen!U34</f>
        <v>2376</v>
      </c>
      <c r="K29" s="777">
        <f>Gen!AL34</f>
        <v>0</v>
      </c>
      <c r="L29" s="768">
        <f t="shared" si="17"/>
        <v>2376</v>
      </c>
      <c r="M29" s="448">
        <f>'Water-Meter'!K69</f>
        <v>527.5087361301114</v>
      </c>
      <c r="N29" s="728">
        <f>'Water-Meter'!E29</f>
        <v>49</v>
      </c>
      <c r="O29" s="718"/>
      <c r="P29" s="726">
        <v>19032</v>
      </c>
      <c r="Q29" s="738">
        <f t="shared" si="2"/>
        <v>0</v>
      </c>
      <c r="R29" s="425">
        <f t="shared" si="5"/>
        <v>0</v>
      </c>
      <c r="S29" s="713"/>
      <c r="T29" s="714">
        <v>17126</v>
      </c>
      <c r="U29" s="738">
        <f t="shared" si="6"/>
        <v>0</v>
      </c>
      <c r="V29" s="426">
        <f t="shared" si="19"/>
        <v>0</v>
      </c>
      <c r="W29" s="713">
        <v>1.5</v>
      </c>
      <c r="X29" s="719">
        <v>26044</v>
      </c>
      <c r="Y29" s="738">
        <f t="shared" si="8"/>
        <v>24</v>
      </c>
      <c r="Z29" s="717">
        <f t="shared" si="9"/>
        <v>36</v>
      </c>
      <c r="AA29" s="725">
        <f t="shared" si="10"/>
        <v>939276</v>
      </c>
      <c r="AB29" s="722">
        <v>41672</v>
      </c>
      <c r="AC29" s="702">
        <f t="shared" si="21"/>
        <v>35</v>
      </c>
      <c r="AD29" s="705">
        <v>207619</v>
      </c>
      <c r="AE29" s="179">
        <f t="shared" si="15"/>
        <v>35</v>
      </c>
      <c r="AF29" s="732">
        <f>'Lpg (2)'!B33*2000/85</f>
        <v>2000</v>
      </c>
      <c r="AG29" s="267">
        <f>'Lpg (2)'!C33*1000/85</f>
        <v>105.88235294117646</v>
      </c>
      <c r="AH29" s="745">
        <f>'Lpg (2)'!D33*1000/85</f>
        <v>1000</v>
      </c>
      <c r="AI29" s="735">
        <f t="shared" si="18"/>
        <v>5105882.3529411759</v>
      </c>
      <c r="AJ29" s="427">
        <f t="shared" si="4"/>
        <v>23529.411764706485</v>
      </c>
      <c r="AK29" s="133"/>
    </row>
    <row r="30" spans="1:37" ht="18.75" x14ac:dyDescent="0.3">
      <c r="A30" s="766">
        <f>Gen!B35</f>
        <v>44160</v>
      </c>
      <c r="B30" s="424">
        <f>'Summery Report'!E29</f>
        <v>0</v>
      </c>
      <c r="C30" s="771">
        <f>Gen!C35</f>
        <v>3.9E-2</v>
      </c>
      <c r="D30" s="733">
        <f>'Summery Report'!E29</f>
        <v>0</v>
      </c>
      <c r="E30" s="733">
        <f t="shared" si="13"/>
        <v>1.3262195121951219</v>
      </c>
      <c r="F30" s="437" t="e">
        <f t="shared" si="14"/>
        <v>#DIV/0!</v>
      </c>
      <c r="G30" s="437" t="e">
        <f t="shared" si="0"/>
        <v>#DIV/0!</v>
      </c>
      <c r="H30" s="733">
        <f>Gen!D35</f>
        <v>39721.950000000004</v>
      </c>
      <c r="I30" s="733">
        <f>Gen!F35</f>
        <v>0</v>
      </c>
      <c r="J30" s="772">
        <f>Gen!U35</f>
        <v>2258</v>
      </c>
      <c r="K30" s="777">
        <f>Gen!AL35</f>
        <v>0</v>
      </c>
      <c r="L30" s="768">
        <f t="shared" si="17"/>
        <v>2258</v>
      </c>
      <c r="M30" s="448">
        <f>'Water-Meter'!K70</f>
        <v>492.05576233408618</v>
      </c>
      <c r="N30" s="728">
        <f>'Water-Meter'!E30</f>
        <v>50</v>
      </c>
      <c r="O30" s="718"/>
      <c r="P30" s="726">
        <v>19032</v>
      </c>
      <c r="Q30" s="738">
        <f t="shared" si="2"/>
        <v>0</v>
      </c>
      <c r="R30" s="425">
        <f t="shared" si="5"/>
        <v>0</v>
      </c>
      <c r="S30" s="713"/>
      <c r="T30" s="714">
        <v>17126</v>
      </c>
      <c r="U30" s="738">
        <f t="shared" si="6"/>
        <v>0</v>
      </c>
      <c r="V30" s="426">
        <f t="shared" si="19"/>
        <v>0</v>
      </c>
      <c r="W30" s="713">
        <v>2</v>
      </c>
      <c r="X30" s="719">
        <v>26067</v>
      </c>
      <c r="Y30" s="738">
        <f t="shared" si="8"/>
        <v>23</v>
      </c>
      <c r="Z30" s="717">
        <f t="shared" si="9"/>
        <v>46</v>
      </c>
      <c r="AA30" s="725">
        <f t="shared" si="10"/>
        <v>1201290</v>
      </c>
      <c r="AB30" s="722">
        <v>41711</v>
      </c>
      <c r="AC30" s="702">
        <f t="shared" si="21"/>
        <v>39</v>
      </c>
      <c r="AD30" s="705">
        <v>207652</v>
      </c>
      <c r="AE30" s="179">
        <f t="shared" si="15"/>
        <v>33</v>
      </c>
      <c r="AF30" s="732">
        <f>'Lpg (2)'!B34*2000/85</f>
        <v>2000</v>
      </c>
      <c r="AG30" s="267">
        <f>'Lpg (2)'!C34*1000/85</f>
        <v>58.823529411764703</v>
      </c>
      <c r="AH30" s="745">
        <f>'Lpg (2)'!D34*1000/85</f>
        <v>1000</v>
      </c>
      <c r="AI30" s="735">
        <f t="shared" si="18"/>
        <v>5058823.5294117648</v>
      </c>
      <c r="AJ30" s="427">
        <f t="shared" si="4"/>
        <v>47058.823529411107</v>
      </c>
      <c r="AK30" s="133"/>
    </row>
    <row r="31" spans="1:37" ht="18.75" x14ac:dyDescent="0.3">
      <c r="A31" s="766">
        <f>Gen!B36</f>
        <v>44161</v>
      </c>
      <c r="B31" s="424">
        <f>'Summery Report'!E30</f>
        <v>0</v>
      </c>
      <c r="C31" s="771">
        <f>Gen!C36</f>
        <v>1.2999999999999999E-2</v>
      </c>
      <c r="D31" s="733">
        <f>'Summery Report'!E30</f>
        <v>0</v>
      </c>
      <c r="E31" s="733">
        <f t="shared" si="13"/>
        <v>1.3262195121951219</v>
      </c>
      <c r="F31" s="437" t="e">
        <f t="shared" si="14"/>
        <v>#DIV/0!</v>
      </c>
      <c r="G31" s="437" t="e">
        <f t="shared" si="0"/>
        <v>#DIV/0!</v>
      </c>
      <c r="H31" s="733">
        <f>Gen!D36</f>
        <v>38722.610000000008</v>
      </c>
      <c r="I31" s="733">
        <f>Gen!F36</f>
        <v>0</v>
      </c>
      <c r="J31" s="772">
        <f>Gen!U36</f>
        <v>2255</v>
      </c>
      <c r="K31" s="777">
        <f>Gen!AL36</f>
        <v>0</v>
      </c>
      <c r="L31" s="768">
        <f t="shared" si="17"/>
        <v>2255</v>
      </c>
      <c r="M31" s="448">
        <f>'Water-Meter'!K71</f>
        <v>506.18684612124883</v>
      </c>
      <c r="N31" s="728">
        <f>'Water-Meter'!E31</f>
        <v>56</v>
      </c>
      <c r="O31" s="718"/>
      <c r="P31" s="726">
        <v>19032</v>
      </c>
      <c r="Q31" s="738">
        <f t="shared" si="2"/>
        <v>0</v>
      </c>
      <c r="R31" s="425">
        <f t="shared" si="5"/>
        <v>0</v>
      </c>
      <c r="S31" s="713"/>
      <c r="T31" s="714">
        <v>17126</v>
      </c>
      <c r="U31" s="738">
        <f t="shared" si="6"/>
        <v>0</v>
      </c>
      <c r="V31" s="426">
        <f t="shared" si="19"/>
        <v>0</v>
      </c>
      <c r="W31" s="713">
        <v>2</v>
      </c>
      <c r="X31" s="720">
        <v>26091</v>
      </c>
      <c r="Y31" s="738">
        <f t="shared" si="8"/>
        <v>24</v>
      </c>
      <c r="Z31" s="717">
        <f t="shared" si="9"/>
        <v>48</v>
      </c>
      <c r="AA31" s="725">
        <f t="shared" si="10"/>
        <v>1254672</v>
      </c>
      <c r="AB31" s="722">
        <v>41757</v>
      </c>
      <c r="AC31" s="702">
        <f t="shared" si="21"/>
        <v>46</v>
      </c>
      <c r="AD31" s="705">
        <v>207687</v>
      </c>
      <c r="AE31" s="179">
        <f t="shared" si="15"/>
        <v>35</v>
      </c>
      <c r="AF31" s="732">
        <f>'Lpg (2)'!B35*2000/85</f>
        <v>2000</v>
      </c>
      <c r="AG31" s="267">
        <f>'Lpg (2)'!C35*1000/85</f>
        <v>35.294117647058826</v>
      </c>
      <c r="AH31" s="745">
        <f>'Lpg (2)'!D35*1000/85</f>
        <v>1000</v>
      </c>
      <c r="AI31" s="735">
        <f t="shared" si="18"/>
        <v>5035294.1176470593</v>
      </c>
      <c r="AJ31" s="427">
        <f t="shared" si="4"/>
        <v>23529.411764705554</v>
      </c>
      <c r="AK31" s="133"/>
    </row>
    <row r="32" spans="1:37" ht="18.75" x14ac:dyDescent="0.3">
      <c r="A32" s="766">
        <f>Gen!B37</f>
        <v>44162</v>
      </c>
      <c r="B32" s="424">
        <f>'Summery Report'!E31</f>
        <v>0</v>
      </c>
      <c r="C32" s="771">
        <f>Gen!C37</f>
        <v>0.01</v>
      </c>
      <c r="D32" s="733">
        <f>'Summery Report'!E31</f>
        <v>0</v>
      </c>
      <c r="E32" s="733">
        <f t="shared" si="13"/>
        <v>1.3262195121951219</v>
      </c>
      <c r="F32" s="437" t="e">
        <f t="shared" si="14"/>
        <v>#DIV/0!</v>
      </c>
      <c r="G32" s="437" t="e">
        <f t="shared" si="0"/>
        <v>#DIV/0!</v>
      </c>
      <c r="H32" s="733">
        <f>Gen!D37</f>
        <v>37794.450000000004</v>
      </c>
      <c r="I32" s="733">
        <f>Gen!F37</f>
        <v>0</v>
      </c>
      <c r="J32" s="772">
        <f>Gen!U37</f>
        <v>2395</v>
      </c>
      <c r="K32" s="777">
        <f>Gen!AL37</f>
        <v>0</v>
      </c>
      <c r="L32" s="768">
        <f t="shared" si="17"/>
        <v>2395</v>
      </c>
      <c r="M32" s="448">
        <f>'Water-Meter'!K72</f>
        <v>552.3845132190927</v>
      </c>
      <c r="N32" s="728">
        <f>'Water-Meter'!E32</f>
        <v>47</v>
      </c>
      <c r="O32" s="718"/>
      <c r="P32" s="726">
        <v>19032</v>
      </c>
      <c r="Q32" s="738">
        <f t="shared" si="2"/>
        <v>0</v>
      </c>
      <c r="R32" s="425">
        <f t="shared" si="5"/>
        <v>0</v>
      </c>
      <c r="S32" s="713"/>
      <c r="T32" s="714">
        <v>17126</v>
      </c>
      <c r="U32" s="738">
        <f t="shared" si="6"/>
        <v>0</v>
      </c>
      <c r="V32" s="426">
        <f t="shared" si="19"/>
        <v>0</v>
      </c>
      <c r="W32" s="713">
        <v>2</v>
      </c>
      <c r="X32" s="719">
        <v>26115</v>
      </c>
      <c r="Y32" s="738">
        <f t="shared" si="8"/>
        <v>24</v>
      </c>
      <c r="Z32" s="717">
        <f t="shared" si="9"/>
        <v>48</v>
      </c>
      <c r="AA32" s="725">
        <f t="shared" si="10"/>
        <v>1255824</v>
      </c>
      <c r="AB32" s="722">
        <v>41803</v>
      </c>
      <c r="AC32" s="702">
        <f t="shared" si="21"/>
        <v>46</v>
      </c>
      <c r="AD32" s="705">
        <v>207719</v>
      </c>
      <c r="AE32" s="179">
        <f t="shared" si="15"/>
        <v>32</v>
      </c>
      <c r="AF32" s="732">
        <f>'Lpg (2)'!B36*2000/85</f>
        <v>2000</v>
      </c>
      <c r="AG32" s="267">
        <f>'Lpg (2)'!C36*1000/85</f>
        <v>23.529411764705884</v>
      </c>
      <c r="AH32" s="745">
        <f>'Lpg (2)'!D36*1000/85</f>
        <v>1000</v>
      </c>
      <c r="AI32" s="735">
        <f t="shared" si="18"/>
        <v>5023529.4117647056</v>
      </c>
      <c r="AJ32" s="427">
        <f t="shared" si="4"/>
        <v>11764.705882353708</v>
      </c>
      <c r="AK32" s="133"/>
    </row>
    <row r="33" spans="1:37" ht="18.75" x14ac:dyDescent="0.3">
      <c r="A33" s="766">
        <f>Gen!B38</f>
        <v>44163</v>
      </c>
      <c r="B33" s="424">
        <f>'Summery Report'!E32</f>
        <v>0</v>
      </c>
      <c r="C33" s="771">
        <f>Gen!C38</f>
        <v>2.5999999999999999E-2</v>
      </c>
      <c r="D33" s="733">
        <f>'Summery Report'!E32</f>
        <v>0</v>
      </c>
      <c r="E33" s="733">
        <f t="shared" si="13"/>
        <v>1.3262195121951219</v>
      </c>
      <c r="F33" s="437" t="e">
        <f t="shared" si="14"/>
        <v>#DIV/0!</v>
      </c>
      <c r="G33" s="437" t="e">
        <f t="shared" si="0"/>
        <v>#DIV/0!</v>
      </c>
      <c r="H33" s="733">
        <f>Gen!D38</f>
        <v>36735.490000000005</v>
      </c>
      <c r="I33" s="733">
        <f>Gen!F38</f>
        <v>0</v>
      </c>
      <c r="J33" s="772">
        <f>Gen!U38</f>
        <v>0</v>
      </c>
      <c r="K33" s="777">
        <f>Gen!AL38</f>
        <v>0</v>
      </c>
      <c r="L33" s="768">
        <f t="shared" si="17"/>
        <v>0</v>
      </c>
      <c r="M33" s="448">
        <f>'Water-Meter'!K73</f>
        <v>601.00380854360867</v>
      </c>
      <c r="N33" s="728">
        <f>'Water-Meter'!E33</f>
        <v>45</v>
      </c>
      <c r="O33" s="718"/>
      <c r="P33" s="726">
        <v>19032</v>
      </c>
      <c r="Q33" s="738">
        <f t="shared" si="2"/>
        <v>0</v>
      </c>
      <c r="R33" s="425">
        <f t="shared" si="5"/>
        <v>0</v>
      </c>
      <c r="S33" s="713"/>
      <c r="T33" s="714">
        <v>17126</v>
      </c>
      <c r="U33" s="738">
        <f t="shared" si="6"/>
        <v>0</v>
      </c>
      <c r="V33" s="426">
        <f t="shared" si="19"/>
        <v>0</v>
      </c>
      <c r="W33" s="713">
        <v>2</v>
      </c>
      <c r="X33" s="719">
        <v>26139</v>
      </c>
      <c r="Y33" s="738">
        <f t="shared" si="8"/>
        <v>24</v>
      </c>
      <c r="Z33" s="717">
        <f t="shared" si="9"/>
        <v>48</v>
      </c>
      <c r="AA33" s="725">
        <f t="shared" si="10"/>
        <v>1256976</v>
      </c>
      <c r="AB33" s="722">
        <v>41847</v>
      </c>
      <c r="AC33" s="702">
        <f t="shared" si="21"/>
        <v>44</v>
      </c>
      <c r="AD33" s="705">
        <v>207752</v>
      </c>
      <c r="AE33" s="179">
        <f t="shared" si="15"/>
        <v>33</v>
      </c>
      <c r="AF33" s="732">
        <f>'Lpg (2)'!B37*2000/85</f>
        <v>2000</v>
      </c>
      <c r="AG33" s="267">
        <f>'Lpg (2)'!C37*1000/85</f>
        <v>11.764705882352942</v>
      </c>
      <c r="AH33" s="745">
        <f>'Lpg (2)'!D37*1000/85</f>
        <v>1000</v>
      </c>
      <c r="AI33" s="735">
        <f t="shared" si="18"/>
        <v>5011764.7058823528</v>
      </c>
      <c r="AJ33" s="427">
        <f t="shared" si="4"/>
        <v>11764.705882352777</v>
      </c>
      <c r="AK33" s="133"/>
    </row>
    <row r="34" spans="1:37" ht="18.75" x14ac:dyDescent="0.3">
      <c r="A34" s="766">
        <f>Gen!B39</f>
        <v>44164</v>
      </c>
      <c r="B34" s="424">
        <f>'Summery Report'!E33</f>
        <v>0</v>
      </c>
      <c r="C34" s="771">
        <f>Gen!C39</f>
        <v>2.5999999999999999E-2</v>
      </c>
      <c r="D34" s="733">
        <f>'Summery Report'!E33</f>
        <v>0</v>
      </c>
      <c r="E34" s="733">
        <f t="shared" si="13"/>
        <v>1.3262195121951219</v>
      </c>
      <c r="F34" s="437" t="e">
        <f t="shared" si="14"/>
        <v>#DIV/0!</v>
      </c>
      <c r="G34" s="437" t="e">
        <f t="shared" si="0"/>
        <v>#DIV/0!</v>
      </c>
      <c r="H34" s="733">
        <f>Gen!D39</f>
        <v>35765.870000000003</v>
      </c>
      <c r="I34" s="733">
        <f>Gen!F39</f>
        <v>0</v>
      </c>
      <c r="J34" s="772">
        <f>Gen!U39</f>
        <v>2264</v>
      </c>
      <c r="K34" s="777">
        <f>Gen!AL39</f>
        <v>0</v>
      </c>
      <c r="L34" s="768">
        <f t="shared" si="17"/>
        <v>2264</v>
      </c>
      <c r="M34" s="448">
        <f>'Water-Meter'!K74</f>
        <v>583.75135538247946</v>
      </c>
      <c r="N34" s="728">
        <f>'Water-Meter'!E34</f>
        <v>62</v>
      </c>
      <c r="O34" s="718"/>
      <c r="P34" s="726">
        <v>19032</v>
      </c>
      <c r="Q34" s="738">
        <f t="shared" si="2"/>
        <v>0</v>
      </c>
      <c r="R34" s="425">
        <f t="shared" si="5"/>
        <v>0</v>
      </c>
      <c r="S34" s="713"/>
      <c r="T34" s="714">
        <v>17126</v>
      </c>
      <c r="U34" s="738">
        <f t="shared" si="6"/>
        <v>0</v>
      </c>
      <c r="V34" s="426">
        <f t="shared" si="19"/>
        <v>0</v>
      </c>
      <c r="W34" s="713">
        <v>2</v>
      </c>
      <c r="X34" s="719">
        <v>26163</v>
      </c>
      <c r="Y34" s="738">
        <f t="shared" si="8"/>
        <v>24</v>
      </c>
      <c r="Z34" s="717">
        <f t="shared" si="9"/>
        <v>48</v>
      </c>
      <c r="AA34" s="725">
        <f t="shared" si="10"/>
        <v>0</v>
      </c>
      <c r="AB34" s="722">
        <v>41891</v>
      </c>
      <c r="AC34" s="702">
        <f t="shared" si="21"/>
        <v>44</v>
      </c>
      <c r="AD34" s="705">
        <v>207789</v>
      </c>
      <c r="AE34" s="179">
        <f t="shared" si="15"/>
        <v>37</v>
      </c>
      <c r="AF34" s="732">
        <f>'Lpg (2)'!B38*2000/85</f>
        <v>2000</v>
      </c>
      <c r="AG34" s="267">
        <f>'Lpg (2)'!C38*1000/85</f>
        <v>0</v>
      </c>
      <c r="AH34" s="745">
        <f>'Lpg (2)'!D38*1000/85</f>
        <v>1000</v>
      </c>
      <c r="AI34" s="735">
        <f t="shared" si="18"/>
        <v>5000000</v>
      </c>
      <c r="AJ34" s="427">
        <f t="shared" si="4"/>
        <v>11764.705882352777</v>
      </c>
      <c r="AK34" s="133"/>
    </row>
    <row r="35" spans="1:37" ht="18.75" x14ac:dyDescent="0.3">
      <c r="A35" s="766">
        <f>Gen!B40</f>
        <v>44165</v>
      </c>
      <c r="B35" s="424">
        <f>'Summery Report'!E34</f>
        <v>0</v>
      </c>
      <c r="C35" s="771">
        <f>Gen!C40</f>
        <v>3.9E-2</v>
      </c>
      <c r="D35" s="733">
        <f>'Summery Report'!E34</f>
        <v>0</v>
      </c>
      <c r="E35" s="733">
        <f t="shared" si="13"/>
        <v>1.3262195121951219</v>
      </c>
      <c r="F35" s="437" t="e">
        <f t="shared" si="14"/>
        <v>#DIV/0!</v>
      </c>
      <c r="G35" s="437" t="e">
        <f t="shared" si="0"/>
        <v>#DIV/0!</v>
      </c>
      <c r="H35" s="733">
        <f>Gen!D40</f>
        <v>34767.9</v>
      </c>
      <c r="I35" s="733">
        <f>Gen!F40</f>
        <v>0</v>
      </c>
      <c r="J35" s="772">
        <f>Gen!U40</f>
        <v>0</v>
      </c>
      <c r="K35" s="777">
        <f>Gen!AL40</f>
        <v>0</v>
      </c>
      <c r="L35" s="768">
        <f t="shared" si="17"/>
        <v>0</v>
      </c>
      <c r="M35" s="448">
        <f>'Water-Meter'!K75</f>
        <v>555.20703143480091</v>
      </c>
      <c r="N35" s="728">
        <f>'Water-Meter'!E35</f>
        <v>46</v>
      </c>
      <c r="O35" s="718"/>
      <c r="P35" s="726">
        <v>19032</v>
      </c>
      <c r="Q35" s="738">
        <f t="shared" si="2"/>
        <v>0</v>
      </c>
      <c r="R35" s="425">
        <f t="shared" si="5"/>
        <v>0</v>
      </c>
      <c r="S35" s="713"/>
      <c r="T35" s="714">
        <v>17126</v>
      </c>
      <c r="U35" s="738">
        <f t="shared" si="6"/>
        <v>0</v>
      </c>
      <c r="V35" s="426">
        <f t="shared" si="19"/>
        <v>0</v>
      </c>
      <c r="W35" s="713">
        <v>2</v>
      </c>
      <c r="X35" s="719">
        <v>26187</v>
      </c>
      <c r="Y35" s="738">
        <f t="shared" si="8"/>
        <v>24</v>
      </c>
      <c r="Z35" s="717">
        <f t="shared" si="9"/>
        <v>48</v>
      </c>
      <c r="AA35" s="725">
        <f t="shared" si="10"/>
        <v>0</v>
      </c>
      <c r="AB35" s="722">
        <v>41932</v>
      </c>
      <c r="AC35" s="702">
        <f t="shared" si="21"/>
        <v>41</v>
      </c>
      <c r="AD35" s="705">
        <v>207823</v>
      </c>
      <c r="AE35" s="179">
        <f t="shared" si="15"/>
        <v>34</v>
      </c>
      <c r="AF35" s="732">
        <f>'Lpg (2)'!B39*2000/85</f>
        <v>2000</v>
      </c>
      <c r="AG35" s="267">
        <f>'Lpg (2)'!C39*1000/85</f>
        <v>0</v>
      </c>
      <c r="AH35" s="745">
        <f>'Lpg (2)'!D39*1000/85</f>
        <v>988.23529411764707</v>
      </c>
      <c r="AI35" s="735">
        <f t="shared" si="18"/>
        <v>4988235.2941176472</v>
      </c>
      <c r="AJ35" s="427">
        <f t="shared" si="4"/>
        <v>11764.705882352777</v>
      </c>
      <c r="AK35" s="133"/>
    </row>
    <row r="36" spans="1:37" ht="18.75" x14ac:dyDescent="0.3">
      <c r="A36" s="766">
        <f>Gen!B41</f>
        <v>44166</v>
      </c>
      <c r="B36" s="424">
        <f>'Summery Report'!E35</f>
        <v>0</v>
      </c>
      <c r="C36" s="771">
        <f>Gen!C41</f>
        <v>0</v>
      </c>
      <c r="D36" s="733">
        <f>'Summery Report'!E35</f>
        <v>0</v>
      </c>
      <c r="E36" s="733">
        <f t="shared" si="13"/>
        <v>1.3262195121951219</v>
      </c>
      <c r="F36" s="437" t="e">
        <f t="shared" si="14"/>
        <v>#DIV/0!</v>
      </c>
      <c r="G36" s="437" t="e">
        <f t="shared" si="0"/>
        <v>#DIV/0!</v>
      </c>
      <c r="H36" s="733">
        <f>Gen!D41</f>
        <v>33526.22</v>
      </c>
      <c r="I36" s="733">
        <f>Gen!F41</f>
        <v>0</v>
      </c>
      <c r="J36" s="772">
        <f>Gen!U41</f>
        <v>0</v>
      </c>
      <c r="K36" s="777">
        <f>Gen!AL41</f>
        <v>0</v>
      </c>
      <c r="L36" s="768">
        <f t="shared" si="17"/>
        <v>0</v>
      </c>
      <c r="M36" s="448">
        <f>'Water-Meter'!K76</f>
        <v>541.0750302759775</v>
      </c>
      <c r="N36" s="728" t="str">
        <f>'Water-Meter'!E36</f>
        <v>0</v>
      </c>
      <c r="O36" s="718"/>
      <c r="P36" s="726"/>
      <c r="Q36" s="738">
        <f t="shared" si="2"/>
        <v>-19032</v>
      </c>
      <c r="R36" s="425">
        <f t="shared" si="5"/>
        <v>0</v>
      </c>
      <c r="S36" s="713"/>
      <c r="T36" s="714"/>
      <c r="U36" s="738">
        <f t="shared" si="6"/>
        <v>-17126</v>
      </c>
      <c r="V36" s="426">
        <f t="shared" si="19"/>
        <v>0</v>
      </c>
      <c r="W36" s="713"/>
      <c r="X36" s="719"/>
      <c r="Y36" s="738">
        <f t="shared" si="8"/>
        <v>-26187</v>
      </c>
      <c r="Z36" s="717">
        <f t="shared" si="9"/>
        <v>0</v>
      </c>
      <c r="AA36" s="725">
        <f t="shared" si="10"/>
        <v>0</v>
      </c>
      <c r="AB36" s="722"/>
      <c r="AC36" s="702">
        <f t="shared" si="21"/>
        <v>-41932</v>
      </c>
      <c r="AD36" s="705"/>
      <c r="AE36" s="179">
        <f t="shared" si="15"/>
        <v>-207823</v>
      </c>
      <c r="AF36" s="732">
        <f>'Lpg (2)'!B40*2000/85</f>
        <v>0</v>
      </c>
      <c r="AG36" s="267">
        <f>'Lpg (2)'!C40*1000/85</f>
        <v>0</v>
      </c>
      <c r="AH36" s="745">
        <f>'Lpg (2)'!D40*1000/85</f>
        <v>0</v>
      </c>
      <c r="AI36" s="735">
        <f>SUM(AF36*1000)+(AG36*1000)+(AH36*2000)</f>
        <v>0</v>
      </c>
      <c r="AJ36" s="427">
        <f t="shared" si="4"/>
        <v>4988235.2941176472</v>
      </c>
      <c r="AK36" s="133"/>
    </row>
    <row r="37" spans="1:37" s="9" customFormat="1" ht="18" thickBot="1" x14ac:dyDescent="0.35">
      <c r="A37" s="767">
        <f>Gen!B42</f>
        <v>0</v>
      </c>
      <c r="B37" s="778">
        <v>0</v>
      </c>
      <c r="C37" s="779"/>
      <c r="D37" s="779"/>
      <c r="E37" s="779"/>
      <c r="F37" s="779"/>
      <c r="G37" s="779"/>
      <c r="H37" s="780"/>
      <c r="I37" s="781"/>
      <c r="J37" s="782">
        <f>SUM(J6:J36)</f>
        <v>67988</v>
      </c>
      <c r="K37" s="783"/>
      <c r="L37" s="769">
        <f t="shared" si="17"/>
        <v>67988</v>
      </c>
      <c r="M37" s="448">
        <f>'Water-Meter'!K77</f>
        <v>0</v>
      </c>
      <c r="N37" s="729">
        <f>'Water-Meter'!E37</f>
        <v>0</v>
      </c>
      <c r="O37" s="715"/>
      <c r="P37" s="716"/>
      <c r="Q37" s="739">
        <f t="shared" ref="Q37" si="22">SUM(P37-P36)</f>
        <v>0</v>
      </c>
      <c r="R37" s="740">
        <f t="shared" ref="R37" si="23">SUM(Q37*O37)</f>
        <v>0</v>
      </c>
      <c r="S37" s="715"/>
      <c r="T37" s="716"/>
      <c r="U37" s="739">
        <f t="shared" ref="U37" si="24">T37-T36</f>
        <v>0</v>
      </c>
      <c r="V37" s="741">
        <f t="shared" ref="V37" si="25">SUM(U37*S37)</f>
        <v>0</v>
      </c>
      <c r="W37" s="715"/>
      <c r="X37" s="716"/>
      <c r="Y37" s="739">
        <f t="shared" ref="Y37" si="26">X37-X36</f>
        <v>0</v>
      </c>
      <c r="Z37" s="742">
        <f t="shared" ref="Z37" si="27">SUM(Y37*W37)</f>
        <v>0</v>
      </c>
      <c r="AA37" s="743">
        <f t="shared" ref="AA37" si="28">SUM(Z37*X39)</f>
        <v>0</v>
      </c>
      <c r="AB37" s="710"/>
      <c r="AC37" s="703">
        <f t="shared" si="21"/>
        <v>0</v>
      </c>
      <c r="AD37" s="706"/>
      <c r="AE37" s="711">
        <f t="shared" si="15"/>
        <v>0</v>
      </c>
      <c r="AF37" s="746">
        <f>'Lpg (2)'!B41*2000/85</f>
        <v>0</v>
      </c>
      <c r="AG37" s="747">
        <f>'Lpg (2)'!C41*1000/85</f>
        <v>0</v>
      </c>
      <c r="AH37" s="748">
        <f>'Lpg (2)'!D41*1000/85</f>
        <v>0</v>
      </c>
      <c r="AI37" s="736"/>
      <c r="AJ37" s="428">
        <f t="shared" ref="AJ37" si="29">SUM(AI36-AI37)</f>
        <v>0</v>
      </c>
      <c r="AK37" s="134"/>
    </row>
    <row r="38" spans="1:37" s="74" customFormat="1" x14ac:dyDescent="0.2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 x14ac:dyDescent="0.2">
      <c r="C39" s="131"/>
      <c r="J39" s="131"/>
      <c r="X39" s="131"/>
      <c r="AF39" s="131"/>
      <c r="AH39" s="130"/>
    </row>
    <row r="40" spans="1:37" ht="30.75" customHeight="1" x14ac:dyDescent="0.2">
      <c r="C40" s="131"/>
      <c r="J40" s="131"/>
      <c r="X40" s="131"/>
    </row>
    <row r="41" spans="1:37" x14ac:dyDescent="0.2">
      <c r="C41" s="131"/>
      <c r="J41" s="131"/>
    </row>
    <row r="42" spans="1:37" x14ac:dyDescent="0.2">
      <c r="C42" s="131"/>
      <c r="J42" s="131"/>
    </row>
    <row r="43" spans="1:37" ht="15" x14ac:dyDescent="0.25">
      <c r="C43" s="131"/>
      <c r="J43" s="131"/>
      <c r="X43" s="429"/>
    </row>
    <row r="44" spans="1:37" ht="15" x14ac:dyDescent="0.25">
      <c r="C44" s="131"/>
      <c r="J44" s="131"/>
      <c r="X44" s="430"/>
    </row>
    <row r="45" spans="1:37" ht="15" x14ac:dyDescent="0.25">
      <c r="C45" s="131"/>
      <c r="J45" s="131"/>
      <c r="X45" s="429"/>
    </row>
    <row r="46" spans="1:37" ht="15" x14ac:dyDescent="0.25">
      <c r="C46" s="131"/>
      <c r="J46" s="131"/>
      <c r="X46" s="430"/>
    </row>
    <row r="47" spans="1:37" x14ac:dyDescent="0.2">
      <c r="C47" s="131"/>
      <c r="J47" s="131"/>
    </row>
    <row r="48" spans="1:37" x14ac:dyDescent="0.2">
      <c r="C48" s="131"/>
      <c r="J48" s="131"/>
    </row>
    <row r="49" spans="3:10" x14ac:dyDescent="0.2">
      <c r="C49" s="131"/>
      <c r="J49" s="131"/>
    </row>
    <row r="50" spans="3:10" x14ac:dyDescent="0.2">
      <c r="C50" s="131"/>
      <c r="J50" s="131"/>
    </row>
    <row r="51" spans="3:10" x14ac:dyDescent="0.2">
      <c r="C51" s="131"/>
      <c r="J51" s="131"/>
    </row>
    <row r="52" spans="3:10" x14ac:dyDescent="0.2">
      <c r="C52" s="131"/>
      <c r="J52" s="131"/>
    </row>
    <row r="53" spans="3:10" x14ac:dyDescent="0.2">
      <c r="C53" s="131"/>
      <c r="J53" s="131"/>
    </row>
    <row r="54" spans="3:10" x14ac:dyDescent="0.2">
      <c r="C54" s="131"/>
      <c r="J54" s="131"/>
    </row>
    <row r="55" spans="3:10" x14ac:dyDescent="0.2">
      <c r="C55" s="131"/>
      <c r="J55" s="131"/>
    </row>
    <row r="56" spans="3:10" x14ac:dyDescent="0.2">
      <c r="C56" s="131"/>
      <c r="J56" s="131"/>
    </row>
    <row r="57" spans="3:10" x14ac:dyDescent="0.2">
      <c r="C57" s="131"/>
      <c r="J57" s="131"/>
    </row>
    <row r="58" spans="3:10" x14ac:dyDescent="0.2">
      <c r="C58" s="131"/>
      <c r="J58" s="131"/>
    </row>
    <row r="59" spans="3:10" x14ac:dyDescent="0.2">
      <c r="C59" s="131"/>
      <c r="J59" s="131"/>
    </row>
    <row r="60" spans="3:10" x14ac:dyDescent="0.2">
      <c r="C60" s="131"/>
      <c r="J60" s="131"/>
    </row>
    <row r="61" spans="3:10" x14ac:dyDescent="0.2">
      <c r="C61" s="131"/>
      <c r="J61" s="131"/>
    </row>
    <row r="62" spans="3:10" x14ac:dyDescent="0.2">
      <c r="C62" s="131"/>
      <c r="J62" s="131"/>
    </row>
    <row r="63" spans="3:10" x14ac:dyDescent="0.2">
      <c r="C63" s="131"/>
      <c r="J63" s="131"/>
    </row>
    <row r="64" spans="3:10" x14ac:dyDescent="0.2">
      <c r="C64" s="131"/>
      <c r="J64" s="131"/>
    </row>
    <row r="65" spans="3:24" x14ac:dyDescent="0.2">
      <c r="C65" s="131"/>
      <c r="J65" s="131"/>
    </row>
    <row r="66" spans="3:24" ht="15" x14ac:dyDescent="0.25">
      <c r="C66" s="131"/>
      <c r="J66" s="131"/>
      <c r="X66" s="431"/>
    </row>
    <row r="67" spans="3:24" ht="15" x14ac:dyDescent="0.25">
      <c r="C67" s="131"/>
      <c r="J67" s="131"/>
      <c r="X67" s="432"/>
    </row>
    <row r="68" spans="3:24" ht="15" x14ac:dyDescent="0.25">
      <c r="C68" s="131"/>
      <c r="J68" s="131"/>
      <c r="X68" s="432"/>
    </row>
    <row r="69" spans="3:24" ht="15" x14ac:dyDescent="0.25">
      <c r="C69" s="131"/>
      <c r="J69" s="131"/>
      <c r="X69" s="432"/>
    </row>
    <row r="70" spans="3:24" ht="15" x14ac:dyDescent="0.25">
      <c r="C70" s="131"/>
      <c r="J70" s="131"/>
      <c r="X70" s="432"/>
    </row>
    <row r="71" spans="3:24" ht="15" x14ac:dyDescent="0.25">
      <c r="C71" s="131"/>
      <c r="J71" s="131"/>
      <c r="X71" s="432"/>
    </row>
    <row r="72" spans="3:24" x14ac:dyDescent="0.2">
      <c r="C72" s="131"/>
      <c r="J72" s="131"/>
      <c r="X72" s="20"/>
    </row>
    <row r="73" spans="3:24" x14ac:dyDescent="0.2">
      <c r="C73" s="131"/>
      <c r="J73" s="131"/>
      <c r="X73" s="20"/>
    </row>
    <row r="74" spans="3:24" x14ac:dyDescent="0.2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3"/>
  <sheetViews>
    <sheetView zoomScale="70" zoomScaleNormal="70" workbookViewId="0">
      <selection activeCell="W33" sqref="W33"/>
    </sheetView>
  </sheetViews>
  <sheetFormatPr defaultRowHeight="12.75" x14ac:dyDescent="0.2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 x14ac:dyDescent="0.35">
      <c r="B1" s="882" t="s">
        <v>150</v>
      </c>
      <c r="C1" s="883"/>
      <c r="D1" s="883"/>
      <c r="E1" s="883"/>
      <c r="F1" s="884"/>
      <c r="G1" s="158"/>
      <c r="H1" s="882" t="s">
        <v>151</v>
      </c>
      <c r="I1" s="883"/>
      <c r="J1" s="883"/>
      <c r="K1" s="883"/>
      <c r="L1" s="884"/>
      <c r="M1" s="882" t="s">
        <v>170</v>
      </c>
      <c r="N1" s="883"/>
      <c r="O1" s="883"/>
      <c r="P1" s="883"/>
      <c r="Q1" s="884"/>
      <c r="R1" s="158"/>
      <c r="T1" s="882" t="s">
        <v>166</v>
      </c>
      <c r="U1" s="883"/>
      <c r="V1" s="883"/>
      <c r="W1" s="883"/>
      <c r="X1" s="884"/>
      <c r="Y1" s="882" t="s">
        <v>169</v>
      </c>
      <c r="Z1" s="883"/>
      <c r="AA1" s="883"/>
      <c r="AB1" s="883"/>
      <c r="AC1" s="884"/>
    </row>
    <row r="2" spans="1:29" ht="60.75" thickBot="1" x14ac:dyDescent="0.3">
      <c r="A2" s="584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38" t="s">
        <v>161</v>
      </c>
      <c r="S2" s="643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 x14ac:dyDescent="0.35">
      <c r="A3" s="585">
        <f>Gen!B11</f>
        <v>44136</v>
      </c>
      <c r="B3" s="885" t="s">
        <v>156</v>
      </c>
      <c r="C3" s="886"/>
      <c r="D3" s="167"/>
      <c r="E3" s="644">
        <v>8902.2000000000007</v>
      </c>
      <c r="F3" s="586" t="s">
        <v>157</v>
      </c>
      <c r="G3" s="587"/>
      <c r="H3" s="885" t="s">
        <v>156</v>
      </c>
      <c r="I3" s="886"/>
      <c r="J3" s="613">
        <f>'Water-Meter'!G5</f>
        <v>38000</v>
      </c>
      <c r="K3" s="588">
        <f>'Water-Meter'!G5</f>
        <v>38000</v>
      </c>
      <c r="L3" s="242"/>
      <c r="M3" s="885" t="s">
        <v>156</v>
      </c>
      <c r="N3" s="886"/>
      <c r="O3" s="167">
        <f>'Water-Meter'!J5</f>
        <v>8086</v>
      </c>
      <c r="P3" s="589">
        <f>'Water-Meter'!J5</f>
        <v>8086</v>
      </c>
      <c r="Q3" s="166"/>
      <c r="R3" s="242"/>
      <c r="S3" s="645"/>
      <c r="T3" s="885" t="s">
        <v>156</v>
      </c>
      <c r="U3" s="886"/>
      <c r="V3" s="167"/>
      <c r="W3" s="646">
        <v>7845.7</v>
      </c>
      <c r="X3" s="590">
        <f t="shared" ref="X3:X35" si="0">(W3-V3)*200</f>
        <v>1569140</v>
      </c>
      <c r="Y3" s="885" t="s">
        <v>156</v>
      </c>
      <c r="Z3" s="886"/>
      <c r="AA3" s="167"/>
      <c r="AB3" s="170"/>
      <c r="AC3" s="171"/>
    </row>
    <row r="4" spans="1:29" ht="18.75" x14ac:dyDescent="0.3">
      <c r="A4" s="647">
        <f>Gen!C11</f>
        <v>2.5999999999999999E-2</v>
      </c>
      <c r="B4" s="591">
        <f>Gen!B11</f>
        <v>44136</v>
      </c>
      <c r="C4" s="592"/>
      <c r="D4" s="593">
        <f t="shared" ref="D4:D23" si="1">E3</f>
        <v>8902.2000000000007</v>
      </c>
      <c r="E4" s="630">
        <v>8903.9</v>
      </c>
      <c r="F4" s="593">
        <f t="shared" ref="F4:F15" si="2">SUM(E4-D4)*120</f>
        <v>203.99999999986903</v>
      </c>
      <c r="G4" s="592"/>
      <c r="H4" s="631">
        <f>B4</f>
        <v>44136</v>
      </c>
      <c r="I4" s="592"/>
      <c r="J4" s="632">
        <f>'Water-Meter'!G6</f>
        <v>38000</v>
      </c>
      <c r="K4" s="633">
        <f>'Water-Meter'!G6</f>
        <v>38000</v>
      </c>
      <c r="L4" s="592">
        <f t="shared" ref="L4:L34" si="3">SUM(K4-J4)</f>
        <v>0</v>
      </c>
      <c r="M4" s="631">
        <f>H4</f>
        <v>44136</v>
      </c>
      <c r="N4" s="592"/>
      <c r="O4" s="61">
        <f>'Water-Meter'!J6</f>
        <v>8086</v>
      </c>
      <c r="P4" s="599">
        <f>'Water-Meter'!J6</f>
        <v>8086</v>
      </c>
      <c r="Q4" s="592">
        <f>N4-O3</f>
        <v>-8086</v>
      </c>
      <c r="R4" s="634">
        <f t="shared" ref="R4:R20" si="4">SUM(Q4/1615)</f>
        <v>-5.0068111455108362</v>
      </c>
      <c r="S4" s="635">
        <f>Gen!U11</f>
        <v>2415</v>
      </c>
      <c r="T4" s="631">
        <f>M4</f>
        <v>44136</v>
      </c>
      <c r="U4" s="592"/>
      <c r="V4" s="593">
        <f t="shared" ref="V4:V33" si="5">W3</f>
        <v>7845.7</v>
      </c>
      <c r="W4" s="636">
        <v>7846.4</v>
      </c>
      <c r="X4" s="593">
        <f t="shared" si="0"/>
        <v>139.99999999996362</v>
      </c>
      <c r="Y4" s="631">
        <f>T4</f>
        <v>44136</v>
      </c>
      <c r="Z4" s="592"/>
      <c r="AA4" s="592"/>
      <c r="AB4" s="599">
        <f>'Water-Meter'!P6</f>
        <v>20406</v>
      </c>
      <c r="AC4" s="600">
        <f>AA4-AB3</f>
        <v>0</v>
      </c>
    </row>
    <row r="5" spans="1:29" ht="18.75" x14ac:dyDescent="0.3">
      <c r="A5" s="648">
        <f>Gen!C12</f>
        <v>5.1900000000000002E-2</v>
      </c>
      <c r="B5" s="594">
        <f>Gen!B12</f>
        <v>44137</v>
      </c>
      <c r="C5" s="578"/>
      <c r="D5" s="583">
        <f t="shared" si="1"/>
        <v>8903.9</v>
      </c>
      <c r="E5" s="579">
        <v>8905.7000000000007</v>
      </c>
      <c r="F5" s="583">
        <f t="shared" si="2"/>
        <v>216.00000000013097</v>
      </c>
      <c r="G5" s="578"/>
      <c r="H5" s="625">
        <f t="shared" ref="H5:H35" si="6">B5</f>
        <v>44137</v>
      </c>
      <c r="I5" s="578"/>
      <c r="J5" s="626">
        <f>'Water-Meter'!G7</f>
        <v>38000</v>
      </c>
      <c r="K5" s="627">
        <f>'Water-Meter'!G7</f>
        <v>38000</v>
      </c>
      <c r="L5" s="578">
        <f t="shared" si="3"/>
        <v>0</v>
      </c>
      <c r="M5" s="625">
        <f t="shared" ref="M5:M35" si="7">H5</f>
        <v>44137</v>
      </c>
      <c r="N5" s="578"/>
      <c r="O5" s="6">
        <f>'Water-Meter'!J7</f>
        <v>8087</v>
      </c>
      <c r="P5" s="582">
        <f>'Water-Meter'!J7</f>
        <v>8087</v>
      </c>
      <c r="Q5" s="578">
        <f t="shared" ref="Q5:Q20" si="8">N5-O4</f>
        <v>-8086</v>
      </c>
      <c r="R5" s="628">
        <f t="shared" si="4"/>
        <v>-5.0068111455108362</v>
      </c>
      <c r="S5" s="629">
        <f>Gen!U12</f>
        <v>2617</v>
      </c>
      <c r="T5" s="625">
        <f t="shared" ref="T5:T30" si="9">M5</f>
        <v>44137</v>
      </c>
      <c r="U5" s="578"/>
      <c r="V5" s="583">
        <f t="shared" si="5"/>
        <v>7846.4</v>
      </c>
      <c r="W5" s="580">
        <v>7847.5</v>
      </c>
      <c r="X5" s="583">
        <f t="shared" si="0"/>
        <v>220.00000000007276</v>
      </c>
      <c r="Y5" s="625">
        <f t="shared" ref="Y5:Y30" si="10">T5</f>
        <v>44137</v>
      </c>
      <c r="Z5" s="578"/>
      <c r="AA5" s="578"/>
      <c r="AB5" s="582">
        <f>'Water-Meter'!P7</f>
        <v>20409</v>
      </c>
      <c r="AC5" s="637">
        <f t="shared" ref="AC5:AC35" si="11">AA5-AB4</f>
        <v>-20406</v>
      </c>
    </row>
    <row r="6" spans="1:29" ht="18.75" x14ac:dyDescent="0.3">
      <c r="A6" s="648">
        <f>Gen!C13</f>
        <v>7.7899999999999997E-2</v>
      </c>
      <c r="B6" s="594">
        <f>Gen!B13</f>
        <v>44138</v>
      </c>
      <c r="C6" s="578"/>
      <c r="D6" s="583">
        <f t="shared" si="1"/>
        <v>8905.7000000000007</v>
      </c>
      <c r="E6" s="579">
        <v>8907.5</v>
      </c>
      <c r="F6" s="583">
        <f t="shared" si="2"/>
        <v>215.99999999991269</v>
      </c>
      <c r="G6" s="578"/>
      <c r="H6" s="625">
        <f t="shared" si="6"/>
        <v>44138</v>
      </c>
      <c r="I6" s="578"/>
      <c r="J6" s="626">
        <f>'Water-Meter'!G8</f>
        <v>38000</v>
      </c>
      <c r="K6" s="627">
        <f>'Water-Meter'!G8</f>
        <v>38000</v>
      </c>
      <c r="L6" s="578">
        <f t="shared" si="3"/>
        <v>0</v>
      </c>
      <c r="M6" s="625">
        <f t="shared" si="7"/>
        <v>44138</v>
      </c>
      <c r="N6" s="578"/>
      <c r="O6" s="6">
        <f>'Water-Meter'!J8</f>
        <v>8089</v>
      </c>
      <c r="P6" s="582">
        <f>'Water-Meter'!J8</f>
        <v>8089</v>
      </c>
      <c r="Q6" s="578">
        <f t="shared" si="8"/>
        <v>-8087</v>
      </c>
      <c r="R6" s="628">
        <f t="shared" si="4"/>
        <v>-5.007430340557276</v>
      </c>
      <c r="S6" s="629">
        <f>Gen!U13</f>
        <v>2592</v>
      </c>
      <c r="T6" s="625">
        <f t="shared" si="9"/>
        <v>44138</v>
      </c>
      <c r="U6" s="578"/>
      <c r="V6" s="583">
        <f t="shared" si="5"/>
        <v>7847.5</v>
      </c>
      <c r="W6" s="580">
        <v>7848</v>
      </c>
      <c r="X6" s="583">
        <f t="shared" si="0"/>
        <v>100</v>
      </c>
      <c r="Y6" s="625">
        <f t="shared" si="10"/>
        <v>44138</v>
      </c>
      <c r="Z6" s="578"/>
      <c r="AA6" s="578"/>
      <c r="AB6" s="582">
        <f>'Water-Meter'!P8</f>
        <v>20420</v>
      </c>
      <c r="AC6" s="637">
        <f t="shared" si="11"/>
        <v>-20409</v>
      </c>
    </row>
    <row r="7" spans="1:29" ht="18.75" x14ac:dyDescent="0.3">
      <c r="A7" s="648">
        <f>Gen!C14</f>
        <v>6.4899999999999999E-2</v>
      </c>
      <c r="B7" s="594">
        <f>Gen!B14</f>
        <v>44139</v>
      </c>
      <c r="C7" s="578"/>
      <c r="D7" s="583">
        <f t="shared" si="1"/>
        <v>8907.5</v>
      </c>
      <c r="E7" s="579">
        <v>8909.4</v>
      </c>
      <c r="F7" s="583">
        <f t="shared" si="2"/>
        <v>227.99999999995634</v>
      </c>
      <c r="G7" s="578"/>
      <c r="H7" s="625">
        <f t="shared" si="6"/>
        <v>44139</v>
      </c>
      <c r="I7" s="578"/>
      <c r="J7" s="626">
        <f>'Water-Meter'!G9</f>
        <v>38000</v>
      </c>
      <c r="K7" s="627">
        <f>'Water-Meter'!G9</f>
        <v>38000</v>
      </c>
      <c r="L7" s="578">
        <f t="shared" si="3"/>
        <v>0</v>
      </c>
      <c r="M7" s="625">
        <f t="shared" si="7"/>
        <v>44139</v>
      </c>
      <c r="N7" s="578"/>
      <c r="O7" s="6">
        <f>'Water-Meter'!J9</f>
        <v>8090</v>
      </c>
      <c r="P7" s="582">
        <f>'Water-Meter'!J9</f>
        <v>8090</v>
      </c>
      <c r="Q7" s="578">
        <f t="shared" si="8"/>
        <v>-8089</v>
      </c>
      <c r="R7" s="628">
        <f t="shared" si="4"/>
        <v>-5.0086687306501547</v>
      </c>
      <c r="S7" s="629">
        <f>Gen!U14</f>
        <v>2655</v>
      </c>
      <c r="T7" s="625">
        <f t="shared" si="9"/>
        <v>44139</v>
      </c>
      <c r="U7" s="578"/>
      <c r="V7" s="583">
        <f t="shared" si="5"/>
        <v>7848</v>
      </c>
      <c r="W7" s="580">
        <v>7848.3</v>
      </c>
      <c r="X7" s="583">
        <f t="shared" si="0"/>
        <v>60.00000000003638</v>
      </c>
      <c r="Y7" s="625">
        <f t="shared" si="10"/>
        <v>44139</v>
      </c>
      <c r="Z7" s="578"/>
      <c r="AA7" s="578"/>
      <c r="AB7" s="582">
        <f>'Water-Meter'!P9</f>
        <v>20429</v>
      </c>
      <c r="AC7" s="637">
        <f t="shared" si="11"/>
        <v>-20420</v>
      </c>
    </row>
    <row r="8" spans="1:29" ht="18.75" x14ac:dyDescent="0.3">
      <c r="A8" s="648">
        <f>Gen!C15</f>
        <v>2.5999999999999999E-2</v>
      </c>
      <c r="B8" s="594">
        <f>Gen!B15</f>
        <v>44140</v>
      </c>
      <c r="C8" s="578"/>
      <c r="D8" s="583">
        <f t="shared" si="1"/>
        <v>8909.4</v>
      </c>
      <c r="E8" s="579">
        <v>8910.7999999999993</v>
      </c>
      <c r="F8" s="583">
        <f t="shared" si="2"/>
        <v>167.99999999995634</v>
      </c>
      <c r="G8" s="578"/>
      <c r="H8" s="625">
        <f t="shared" si="6"/>
        <v>44140</v>
      </c>
      <c r="I8" s="578"/>
      <c r="J8" s="626">
        <f>'Water-Meter'!G10</f>
        <v>38000</v>
      </c>
      <c r="K8" s="627">
        <f>'Water-Meter'!G10</f>
        <v>38000</v>
      </c>
      <c r="L8" s="578">
        <f t="shared" si="3"/>
        <v>0</v>
      </c>
      <c r="M8" s="625">
        <f t="shared" si="7"/>
        <v>44140</v>
      </c>
      <c r="N8" s="578"/>
      <c r="O8" s="6">
        <f>'Water-Meter'!J10</f>
        <v>8091</v>
      </c>
      <c r="P8" s="582">
        <f>'Water-Meter'!J10</f>
        <v>8091</v>
      </c>
      <c r="Q8" s="578">
        <f t="shared" si="8"/>
        <v>-8090</v>
      </c>
      <c r="R8" s="628">
        <f t="shared" si="4"/>
        <v>-5.0092879256965945</v>
      </c>
      <c r="S8" s="629">
        <f>Gen!U15</f>
        <v>2595</v>
      </c>
      <c r="T8" s="625">
        <f t="shared" si="9"/>
        <v>44140</v>
      </c>
      <c r="U8" s="578"/>
      <c r="V8" s="583">
        <f t="shared" si="5"/>
        <v>7848.3</v>
      </c>
      <c r="W8" s="580">
        <v>7849.1</v>
      </c>
      <c r="X8" s="583">
        <f t="shared" si="0"/>
        <v>160.00000000003638</v>
      </c>
      <c r="Y8" s="625">
        <f t="shared" si="10"/>
        <v>44140</v>
      </c>
      <c r="Z8" s="578"/>
      <c r="AA8" s="578"/>
      <c r="AB8" s="582">
        <f>'Water-Meter'!P10</f>
        <v>20439</v>
      </c>
      <c r="AC8" s="637">
        <f t="shared" si="11"/>
        <v>-20429</v>
      </c>
    </row>
    <row r="9" spans="1:29" ht="18.75" x14ac:dyDescent="0.3">
      <c r="A9" s="648">
        <f>Gen!C16</f>
        <v>6.4899999999999999E-2</v>
      </c>
      <c r="B9" s="594">
        <f>Gen!B16</f>
        <v>44141</v>
      </c>
      <c r="C9" s="578"/>
      <c r="D9" s="583">
        <f t="shared" si="1"/>
        <v>8910.7999999999993</v>
      </c>
      <c r="E9" s="579">
        <v>8912.7999999999993</v>
      </c>
      <c r="F9" s="583">
        <f t="shared" si="2"/>
        <v>240</v>
      </c>
      <c r="G9" s="578"/>
      <c r="H9" s="625">
        <f t="shared" si="6"/>
        <v>44141</v>
      </c>
      <c r="I9" s="578"/>
      <c r="J9" s="626">
        <f>'Water-Meter'!G11</f>
        <v>38000</v>
      </c>
      <c r="K9" s="627">
        <f>'Water-Meter'!G11</f>
        <v>38000</v>
      </c>
      <c r="L9" s="578">
        <f t="shared" si="3"/>
        <v>0</v>
      </c>
      <c r="M9" s="625">
        <f t="shared" si="7"/>
        <v>44141</v>
      </c>
      <c r="N9" s="578"/>
      <c r="O9" s="6">
        <f>'Water-Meter'!J11</f>
        <v>8091</v>
      </c>
      <c r="P9" s="582">
        <f>'Water-Meter'!J11</f>
        <v>8091</v>
      </c>
      <c r="Q9" s="578">
        <f t="shared" si="8"/>
        <v>-8091</v>
      </c>
      <c r="R9" s="628">
        <f t="shared" si="4"/>
        <v>-5.0099071207430343</v>
      </c>
      <c r="S9" s="629">
        <f>Gen!U16</f>
        <v>2217</v>
      </c>
      <c r="T9" s="625">
        <f t="shared" si="9"/>
        <v>44141</v>
      </c>
      <c r="U9" s="578"/>
      <c r="V9" s="583">
        <f t="shared" si="5"/>
        <v>7849.1</v>
      </c>
      <c r="W9" s="580">
        <v>7849.3</v>
      </c>
      <c r="X9" s="583">
        <f t="shared" si="0"/>
        <v>39.99999999996362</v>
      </c>
      <c r="Y9" s="625">
        <f t="shared" si="10"/>
        <v>44141</v>
      </c>
      <c r="Z9" s="578"/>
      <c r="AA9" s="578"/>
      <c r="AB9" s="582">
        <f>'Water-Meter'!P11</f>
        <v>20449</v>
      </c>
      <c r="AC9" s="637">
        <f t="shared" si="11"/>
        <v>-20439</v>
      </c>
    </row>
    <row r="10" spans="1:29" ht="18.75" x14ac:dyDescent="0.3">
      <c r="A10" s="648">
        <f>Gen!C17</f>
        <v>5.1900000000000002E-2</v>
      </c>
      <c r="B10" s="594">
        <f>Gen!B17</f>
        <v>44142</v>
      </c>
      <c r="C10" s="578"/>
      <c r="D10" s="583">
        <f t="shared" si="1"/>
        <v>8912.7999999999993</v>
      </c>
      <c r="E10" s="579">
        <v>8913.9</v>
      </c>
      <c r="F10" s="583">
        <f t="shared" si="2"/>
        <v>132.00000000004366</v>
      </c>
      <c r="G10" s="578"/>
      <c r="H10" s="625">
        <f t="shared" si="6"/>
        <v>44142</v>
      </c>
      <c r="I10" s="578"/>
      <c r="J10" s="626">
        <f>'Water-Meter'!G12</f>
        <v>38000</v>
      </c>
      <c r="K10" s="627">
        <f>'Water-Meter'!G12</f>
        <v>38000</v>
      </c>
      <c r="L10" s="578">
        <f t="shared" si="3"/>
        <v>0</v>
      </c>
      <c r="M10" s="625">
        <f t="shared" si="7"/>
        <v>44142</v>
      </c>
      <c r="N10" s="578"/>
      <c r="O10" s="6">
        <f>'Water-Meter'!J12</f>
        <v>8092</v>
      </c>
      <c r="P10" s="582">
        <f>'Water-Meter'!J12</f>
        <v>8092</v>
      </c>
      <c r="Q10" s="578">
        <f t="shared" si="8"/>
        <v>-8091</v>
      </c>
      <c r="R10" s="628">
        <f t="shared" si="4"/>
        <v>-5.0099071207430343</v>
      </c>
      <c r="S10" s="629">
        <f>Gen!U17</f>
        <v>2479</v>
      </c>
      <c r="T10" s="625">
        <f t="shared" si="9"/>
        <v>44142</v>
      </c>
      <c r="U10" s="578"/>
      <c r="V10" s="583">
        <f t="shared" si="5"/>
        <v>7849.3</v>
      </c>
      <c r="W10" s="580">
        <v>7850.1</v>
      </c>
      <c r="X10" s="583">
        <f t="shared" si="0"/>
        <v>160.00000000003638</v>
      </c>
      <c r="Y10" s="625">
        <f t="shared" si="10"/>
        <v>44142</v>
      </c>
      <c r="Z10" s="578"/>
      <c r="AA10" s="578"/>
      <c r="AB10" s="582">
        <f>'Water-Meter'!P12</f>
        <v>20458</v>
      </c>
      <c r="AC10" s="637">
        <f t="shared" si="11"/>
        <v>-20449</v>
      </c>
    </row>
    <row r="11" spans="1:29" ht="18.75" x14ac:dyDescent="0.3">
      <c r="A11" s="648">
        <f>Gen!C18</f>
        <v>0</v>
      </c>
      <c r="B11" s="594">
        <f>Gen!B18</f>
        <v>44143</v>
      </c>
      <c r="C11" s="578"/>
      <c r="D11" s="583">
        <f t="shared" si="1"/>
        <v>8913.9</v>
      </c>
      <c r="E11" s="579">
        <v>8915.2000000000007</v>
      </c>
      <c r="F11" s="583">
        <f t="shared" si="2"/>
        <v>156.00000000013097</v>
      </c>
      <c r="G11" s="578"/>
      <c r="H11" s="625">
        <f t="shared" si="6"/>
        <v>44143</v>
      </c>
      <c r="I11" s="578"/>
      <c r="J11" s="626">
        <f>'Water-Meter'!G13</f>
        <v>38000</v>
      </c>
      <c r="K11" s="627">
        <f>'Water-Meter'!G13</f>
        <v>38000</v>
      </c>
      <c r="L11" s="578">
        <f t="shared" si="3"/>
        <v>0</v>
      </c>
      <c r="M11" s="625">
        <f t="shared" si="7"/>
        <v>44143</v>
      </c>
      <c r="N11" s="578"/>
      <c r="O11" s="6">
        <f>'Water-Meter'!J13</f>
        <v>8092</v>
      </c>
      <c r="P11" s="582">
        <f>'Water-Meter'!J13</f>
        <v>8092</v>
      </c>
      <c r="Q11" s="578">
        <f t="shared" si="8"/>
        <v>-8092</v>
      </c>
      <c r="R11" s="628">
        <f t="shared" si="4"/>
        <v>-5.0105263157894733</v>
      </c>
      <c r="S11" s="629">
        <f>Gen!U18</f>
        <v>2341</v>
      </c>
      <c r="T11" s="625">
        <f t="shared" si="9"/>
        <v>44143</v>
      </c>
      <c r="U11" s="578"/>
      <c r="V11" s="583">
        <f t="shared" si="5"/>
        <v>7850.1</v>
      </c>
      <c r="W11" s="580">
        <v>7850.7</v>
      </c>
      <c r="X11" s="583">
        <f t="shared" si="0"/>
        <v>119.99999999989086</v>
      </c>
      <c r="Y11" s="625">
        <f t="shared" si="10"/>
        <v>44143</v>
      </c>
      <c r="Z11" s="578"/>
      <c r="AA11" s="578"/>
      <c r="AB11" s="582">
        <f>'Water-Meter'!P13</f>
        <v>20471</v>
      </c>
      <c r="AC11" s="637">
        <f t="shared" si="11"/>
        <v>-20458</v>
      </c>
    </row>
    <row r="12" spans="1:29" ht="18.75" x14ac:dyDescent="0.3">
      <c r="A12" s="648">
        <f>Gen!C19</f>
        <v>1.2999999999999999E-2</v>
      </c>
      <c r="B12" s="594">
        <f>Gen!B19</f>
        <v>44144</v>
      </c>
      <c r="C12" s="578"/>
      <c r="D12" s="583">
        <f t="shared" si="1"/>
        <v>8915.2000000000007</v>
      </c>
      <c r="E12" s="579">
        <v>8916.7999999999993</v>
      </c>
      <c r="F12" s="583">
        <f t="shared" si="2"/>
        <v>191.99999999982538</v>
      </c>
      <c r="G12" s="578"/>
      <c r="H12" s="625">
        <f t="shared" si="6"/>
        <v>44144</v>
      </c>
      <c r="I12" s="578"/>
      <c r="J12" s="626">
        <f>'Water-Meter'!G14</f>
        <v>38000</v>
      </c>
      <c r="K12" s="627">
        <f>'Water-Meter'!G14</f>
        <v>38000</v>
      </c>
      <c r="L12" s="578">
        <f t="shared" si="3"/>
        <v>0</v>
      </c>
      <c r="M12" s="625">
        <f t="shared" si="7"/>
        <v>44144</v>
      </c>
      <c r="N12" s="578"/>
      <c r="O12" s="6">
        <f>'Water-Meter'!J14</f>
        <v>8094</v>
      </c>
      <c r="P12" s="582">
        <f>'Water-Meter'!J14</f>
        <v>8094</v>
      </c>
      <c r="Q12" s="578">
        <f t="shared" si="8"/>
        <v>-8092</v>
      </c>
      <c r="R12" s="628">
        <f t="shared" si="4"/>
        <v>-5.0105263157894733</v>
      </c>
      <c r="S12" s="629">
        <f>Gen!U19</f>
        <v>2360</v>
      </c>
      <c r="T12" s="625">
        <f t="shared" si="9"/>
        <v>44144</v>
      </c>
      <c r="U12" s="578"/>
      <c r="V12" s="583">
        <f t="shared" si="5"/>
        <v>7850.7</v>
      </c>
      <c r="W12" s="580">
        <v>7851.3</v>
      </c>
      <c r="X12" s="583">
        <f t="shared" si="0"/>
        <v>120.00000000007276</v>
      </c>
      <c r="Y12" s="625">
        <f t="shared" si="10"/>
        <v>44144</v>
      </c>
      <c r="Z12" s="578"/>
      <c r="AA12" s="578"/>
      <c r="AB12" s="582">
        <f>'Water-Meter'!P14</f>
        <v>20479</v>
      </c>
      <c r="AC12" s="637">
        <f t="shared" si="11"/>
        <v>-20471</v>
      </c>
    </row>
    <row r="13" spans="1:29" ht="18.75" x14ac:dyDescent="0.3">
      <c r="A13" s="648">
        <f>Gen!C20</f>
        <v>3.9E-2</v>
      </c>
      <c r="B13" s="594">
        <f>Gen!B20</f>
        <v>44145</v>
      </c>
      <c r="C13" s="578"/>
      <c r="D13" s="583">
        <f t="shared" si="1"/>
        <v>8916.7999999999993</v>
      </c>
      <c r="E13" s="579">
        <v>8918.4</v>
      </c>
      <c r="F13" s="583">
        <f t="shared" si="2"/>
        <v>192.00000000004366</v>
      </c>
      <c r="G13" s="578"/>
      <c r="H13" s="625">
        <f t="shared" si="6"/>
        <v>44145</v>
      </c>
      <c r="I13" s="578"/>
      <c r="J13" s="626">
        <f>'Water-Meter'!G15</f>
        <v>38000</v>
      </c>
      <c r="K13" s="627">
        <f>'Water-Meter'!G15</f>
        <v>38000</v>
      </c>
      <c r="L13" s="578">
        <f t="shared" si="3"/>
        <v>0</v>
      </c>
      <c r="M13" s="625">
        <f t="shared" si="7"/>
        <v>44145</v>
      </c>
      <c r="N13" s="578"/>
      <c r="O13" s="6">
        <f>'Water-Meter'!J15</f>
        <v>8095</v>
      </c>
      <c r="P13" s="582">
        <f>'Water-Meter'!J15</f>
        <v>8095</v>
      </c>
      <c r="Q13" s="578">
        <f t="shared" si="8"/>
        <v>-8094</v>
      </c>
      <c r="R13" s="628">
        <f t="shared" si="4"/>
        <v>-5.0117647058823529</v>
      </c>
      <c r="S13" s="629">
        <f>Gen!U20</f>
        <v>2323</v>
      </c>
      <c r="T13" s="625">
        <f t="shared" si="9"/>
        <v>44145</v>
      </c>
      <c r="U13" s="578"/>
      <c r="V13" s="583">
        <f t="shared" si="5"/>
        <v>7851.3</v>
      </c>
      <c r="W13" s="580">
        <v>7851.8</v>
      </c>
      <c r="X13" s="583">
        <f t="shared" si="0"/>
        <v>100</v>
      </c>
      <c r="Y13" s="625">
        <f t="shared" si="10"/>
        <v>44145</v>
      </c>
      <c r="Z13" s="578"/>
      <c r="AA13" s="578"/>
      <c r="AB13" s="582">
        <f>'Water-Meter'!P15</f>
        <v>20490</v>
      </c>
      <c r="AC13" s="637">
        <f t="shared" si="11"/>
        <v>-20479</v>
      </c>
    </row>
    <row r="14" spans="1:29" ht="18.75" x14ac:dyDescent="0.3">
      <c r="A14" s="648">
        <f>Gen!C21</f>
        <v>6.4899999999999999E-2</v>
      </c>
      <c r="B14" s="594">
        <f>Gen!B21</f>
        <v>44146</v>
      </c>
      <c r="C14" s="578"/>
      <c r="D14" s="583">
        <f t="shared" si="1"/>
        <v>8918.4</v>
      </c>
      <c r="E14" s="579">
        <v>8920.1</v>
      </c>
      <c r="F14" s="583">
        <f t="shared" si="2"/>
        <v>204.00000000008731</v>
      </c>
      <c r="G14" s="578"/>
      <c r="H14" s="625">
        <f t="shared" si="6"/>
        <v>44146</v>
      </c>
      <c r="I14" s="578"/>
      <c r="J14" s="626">
        <f>'Water-Meter'!G16</f>
        <v>38000</v>
      </c>
      <c r="K14" s="627">
        <f>'Water-Meter'!G16</f>
        <v>38000</v>
      </c>
      <c r="L14" s="578">
        <f t="shared" si="3"/>
        <v>0</v>
      </c>
      <c r="M14" s="625">
        <f t="shared" si="7"/>
        <v>44146</v>
      </c>
      <c r="N14" s="578"/>
      <c r="O14" s="6">
        <f>'Water-Meter'!J16</f>
        <v>8096</v>
      </c>
      <c r="P14" s="582">
        <f>'Water-Meter'!J16</f>
        <v>8096</v>
      </c>
      <c r="Q14" s="578">
        <v>8095</v>
      </c>
      <c r="R14" s="628">
        <f t="shared" si="4"/>
        <v>5.0123839009287927</v>
      </c>
      <c r="S14" s="629">
        <f>Gen!U21</f>
        <v>2283</v>
      </c>
      <c r="T14" s="625">
        <f t="shared" si="9"/>
        <v>44146</v>
      </c>
      <c r="U14" s="578"/>
      <c r="V14" s="583">
        <f t="shared" si="5"/>
        <v>7851.8</v>
      </c>
      <c r="W14" s="580">
        <v>7852.1</v>
      </c>
      <c r="X14" s="583">
        <f t="shared" si="0"/>
        <v>60.00000000003638</v>
      </c>
      <c r="Y14" s="625">
        <f t="shared" si="10"/>
        <v>44146</v>
      </c>
      <c r="Z14" s="578"/>
      <c r="AA14" s="578"/>
      <c r="AB14" s="582">
        <f>'Water-Meter'!P16</f>
        <v>20495</v>
      </c>
      <c r="AC14" s="637">
        <v>20490</v>
      </c>
    </row>
    <row r="15" spans="1:29" ht="18.75" x14ac:dyDescent="0.3">
      <c r="A15" s="648">
        <f>Gen!C22</f>
        <v>0.05</v>
      </c>
      <c r="B15" s="594">
        <f>Gen!B22</f>
        <v>44147</v>
      </c>
      <c r="C15" s="578"/>
      <c r="D15" s="583">
        <f t="shared" si="1"/>
        <v>8920.1</v>
      </c>
      <c r="E15" s="579">
        <v>8921.7999999999993</v>
      </c>
      <c r="F15" s="583">
        <f t="shared" si="2"/>
        <v>203.99999999986903</v>
      </c>
      <c r="G15" s="578"/>
      <c r="H15" s="625">
        <f t="shared" si="6"/>
        <v>44147</v>
      </c>
      <c r="I15" s="578"/>
      <c r="J15" s="626">
        <f>'Water-Meter'!G17</f>
        <v>38000</v>
      </c>
      <c r="K15" s="627">
        <f>'Water-Meter'!G17</f>
        <v>38000</v>
      </c>
      <c r="L15" s="578">
        <f t="shared" si="3"/>
        <v>0</v>
      </c>
      <c r="M15" s="625">
        <f t="shared" si="7"/>
        <v>44147</v>
      </c>
      <c r="N15" s="578"/>
      <c r="O15" s="6">
        <f>'Water-Meter'!J17</f>
        <v>8097</v>
      </c>
      <c r="P15" s="582">
        <f>'Water-Meter'!J17</f>
        <v>8097</v>
      </c>
      <c r="Q15" s="578">
        <f t="shared" si="8"/>
        <v>-8096</v>
      </c>
      <c r="R15" s="628">
        <f t="shared" si="4"/>
        <v>-5.0130030959752325</v>
      </c>
      <c r="S15" s="629">
        <f>Gen!U22</f>
        <v>2328</v>
      </c>
      <c r="T15" s="625">
        <f t="shared" si="9"/>
        <v>44147</v>
      </c>
      <c r="U15" s="578"/>
      <c r="V15" s="583">
        <f t="shared" si="5"/>
        <v>7852.1</v>
      </c>
      <c r="W15" s="580">
        <v>7853.1</v>
      </c>
      <c r="X15" s="583">
        <f t="shared" si="0"/>
        <v>200</v>
      </c>
      <c r="Y15" s="625">
        <f t="shared" si="10"/>
        <v>44147</v>
      </c>
      <c r="Z15" s="578"/>
      <c r="AA15" s="578"/>
      <c r="AB15" s="582">
        <f>'Water-Meter'!P17</f>
        <v>20498</v>
      </c>
      <c r="AC15" s="637">
        <f t="shared" si="11"/>
        <v>-20495</v>
      </c>
    </row>
    <row r="16" spans="1:29" ht="18.75" x14ac:dyDescent="0.3">
      <c r="A16" s="648">
        <f>Gen!C23</f>
        <v>5.1900000000000002E-2</v>
      </c>
      <c r="B16" s="594">
        <f>Gen!B23</f>
        <v>44148</v>
      </c>
      <c r="C16" s="578"/>
      <c r="D16" s="583">
        <f t="shared" si="1"/>
        <v>8921.7999999999993</v>
      </c>
      <c r="E16" s="579">
        <v>8923.6</v>
      </c>
      <c r="F16" s="583">
        <f>SUM(E16-D16)*120</f>
        <v>216.00000000013097</v>
      </c>
      <c r="G16" s="578"/>
      <c r="H16" s="625">
        <f t="shared" si="6"/>
        <v>44148</v>
      </c>
      <c r="I16" s="578"/>
      <c r="J16" s="626">
        <f>'Water-Meter'!G18</f>
        <v>38000</v>
      </c>
      <c r="K16" s="627">
        <f>'Water-Meter'!G18</f>
        <v>38000</v>
      </c>
      <c r="L16" s="578">
        <f t="shared" si="3"/>
        <v>0</v>
      </c>
      <c r="M16" s="625">
        <f t="shared" si="7"/>
        <v>44148</v>
      </c>
      <c r="N16" s="578"/>
      <c r="O16" s="6">
        <f>'Water-Meter'!J18</f>
        <v>8098</v>
      </c>
      <c r="P16" s="582">
        <f>'Water-Meter'!J18</f>
        <v>8098</v>
      </c>
      <c r="Q16" s="578">
        <f t="shared" si="8"/>
        <v>-8097</v>
      </c>
      <c r="R16" s="628">
        <f t="shared" si="4"/>
        <v>-5.0136222910216715</v>
      </c>
      <c r="S16" s="629">
        <f>Gen!U23</f>
        <v>2362</v>
      </c>
      <c r="T16" s="625">
        <f t="shared" si="9"/>
        <v>44148</v>
      </c>
      <c r="U16" s="578"/>
      <c r="V16" s="583">
        <f t="shared" si="5"/>
        <v>7853.1</v>
      </c>
      <c r="W16" s="580">
        <v>7853.5</v>
      </c>
      <c r="X16" s="583">
        <f t="shared" si="0"/>
        <v>79.99999999992724</v>
      </c>
      <c r="Y16" s="625">
        <f t="shared" si="10"/>
        <v>44148</v>
      </c>
      <c r="Z16" s="578"/>
      <c r="AA16" s="578"/>
      <c r="AB16" s="582">
        <f>'Water-Meter'!P18</f>
        <v>20502</v>
      </c>
      <c r="AC16" s="637">
        <f t="shared" si="11"/>
        <v>-20498</v>
      </c>
    </row>
    <row r="17" spans="1:29" ht="18.75" x14ac:dyDescent="0.3">
      <c r="A17" s="648">
        <f>Gen!C24</f>
        <v>0.18179999999999999</v>
      </c>
      <c r="B17" s="594">
        <f>Gen!B24</f>
        <v>44149</v>
      </c>
      <c r="C17" s="578"/>
      <c r="D17" s="583">
        <f t="shared" si="1"/>
        <v>8923.6</v>
      </c>
      <c r="E17" s="579">
        <v>8925.4</v>
      </c>
      <c r="F17" s="583">
        <f>SUM(E17-D17)*120</f>
        <v>215.99999999991269</v>
      </c>
      <c r="G17" s="578"/>
      <c r="H17" s="625">
        <f t="shared" si="6"/>
        <v>44149</v>
      </c>
      <c r="I17" s="578"/>
      <c r="J17" s="626">
        <f>'Water-Meter'!G19</f>
        <v>38000</v>
      </c>
      <c r="K17" s="627">
        <f>'Water-Meter'!G19</f>
        <v>38000</v>
      </c>
      <c r="L17" s="578">
        <f t="shared" si="3"/>
        <v>0</v>
      </c>
      <c r="M17" s="625">
        <f t="shared" si="7"/>
        <v>44149</v>
      </c>
      <c r="N17" s="578"/>
      <c r="O17" s="6">
        <f>'Water-Meter'!J19</f>
        <v>8099</v>
      </c>
      <c r="P17" s="582">
        <f>'Water-Meter'!J19</f>
        <v>8099</v>
      </c>
      <c r="Q17" s="578">
        <f t="shared" si="8"/>
        <v>-8098</v>
      </c>
      <c r="R17" s="628">
        <f t="shared" si="4"/>
        <v>-5.0142414860681113</v>
      </c>
      <c r="S17" s="629">
        <f>Gen!U24</f>
        <v>2380</v>
      </c>
      <c r="T17" s="625">
        <f t="shared" si="9"/>
        <v>44149</v>
      </c>
      <c r="U17" s="578"/>
      <c r="V17" s="583">
        <f t="shared" si="5"/>
        <v>7853.5</v>
      </c>
      <c r="W17" s="580">
        <v>7854.2</v>
      </c>
      <c r="X17" s="583">
        <f t="shared" si="0"/>
        <v>139.99999999996362</v>
      </c>
      <c r="Y17" s="625">
        <f t="shared" si="10"/>
        <v>44149</v>
      </c>
      <c r="Z17" s="578"/>
      <c r="AA17" s="578"/>
      <c r="AB17" s="582">
        <f>'Water-Meter'!P19</f>
        <v>20507</v>
      </c>
      <c r="AC17" s="637">
        <f t="shared" si="11"/>
        <v>-20502</v>
      </c>
    </row>
    <row r="18" spans="1:29" ht="18.75" x14ac:dyDescent="0.3">
      <c r="A18" s="648">
        <f>Gen!C25</f>
        <v>0.1429</v>
      </c>
      <c r="B18" s="594">
        <f>Gen!B25</f>
        <v>44150</v>
      </c>
      <c r="C18" s="578"/>
      <c r="D18" s="583">
        <f t="shared" si="1"/>
        <v>8925.4</v>
      </c>
      <c r="E18" s="579">
        <v>8927.2999999999993</v>
      </c>
      <c r="F18" s="583">
        <f t="shared" ref="F18:F22" si="12">SUM(E18-D18)*120</f>
        <v>227.99999999995634</v>
      </c>
      <c r="G18" s="578"/>
      <c r="H18" s="625">
        <f t="shared" si="6"/>
        <v>44150</v>
      </c>
      <c r="I18" s="578"/>
      <c r="J18" s="626">
        <f>'Water-Meter'!G20</f>
        <v>38000</v>
      </c>
      <c r="K18" s="627">
        <f>'Water-Meter'!G20</f>
        <v>38000</v>
      </c>
      <c r="L18" s="578">
        <f t="shared" si="3"/>
        <v>0</v>
      </c>
      <c r="M18" s="625">
        <f t="shared" si="7"/>
        <v>44150</v>
      </c>
      <c r="N18" s="578"/>
      <c r="O18" s="6">
        <f>'Water-Meter'!J20</f>
        <v>8100</v>
      </c>
      <c r="P18" s="582">
        <f>'Water-Meter'!J20</f>
        <v>8100</v>
      </c>
      <c r="Q18" s="578">
        <f t="shared" si="8"/>
        <v>-8099</v>
      </c>
      <c r="R18" s="628">
        <f t="shared" si="4"/>
        <v>-5.0148606811145511</v>
      </c>
      <c r="S18" s="629">
        <f>Gen!U25</f>
        <v>2337</v>
      </c>
      <c r="T18" s="625">
        <f t="shared" si="9"/>
        <v>44150</v>
      </c>
      <c r="U18" s="578"/>
      <c r="V18" s="583">
        <f t="shared" si="5"/>
        <v>7854.2</v>
      </c>
      <c r="W18" s="580">
        <v>7854.7</v>
      </c>
      <c r="X18" s="583">
        <f t="shared" si="0"/>
        <v>100</v>
      </c>
      <c r="Y18" s="625">
        <f t="shared" si="10"/>
        <v>44150</v>
      </c>
      <c r="Z18" s="578"/>
      <c r="AA18" s="578"/>
      <c r="AB18" s="582">
        <f>'Water-Meter'!P20</f>
        <v>20511</v>
      </c>
      <c r="AC18" s="637">
        <f t="shared" si="11"/>
        <v>-20507</v>
      </c>
    </row>
    <row r="19" spans="1:29" ht="18.75" x14ac:dyDescent="0.3">
      <c r="A19" s="648">
        <f>Gen!C26</f>
        <v>0.12989999999999999</v>
      </c>
      <c r="B19" s="594">
        <f>Gen!B26</f>
        <v>44151</v>
      </c>
      <c r="C19" s="581"/>
      <c r="D19" s="583">
        <f t="shared" si="1"/>
        <v>8927.2999999999993</v>
      </c>
      <c r="E19" s="579">
        <v>8929.5</v>
      </c>
      <c r="F19" s="583">
        <f t="shared" si="12"/>
        <v>264.00000000008731</v>
      </c>
      <c r="G19" s="578"/>
      <c r="H19" s="625">
        <f t="shared" si="6"/>
        <v>44151</v>
      </c>
      <c r="I19" s="581"/>
      <c r="J19" s="626">
        <f>'Water-Meter'!G21</f>
        <v>38000</v>
      </c>
      <c r="K19" s="627">
        <f>'Water-Meter'!G21</f>
        <v>38000</v>
      </c>
      <c r="L19" s="578">
        <f t="shared" si="3"/>
        <v>0</v>
      </c>
      <c r="M19" s="625">
        <f t="shared" si="7"/>
        <v>44151</v>
      </c>
      <c r="N19" s="581"/>
      <c r="O19" s="6">
        <f>'Water-Meter'!J21</f>
        <v>8101</v>
      </c>
      <c r="P19" s="582">
        <f>'Water-Meter'!J21</f>
        <v>8101</v>
      </c>
      <c r="Q19" s="578">
        <f t="shared" si="8"/>
        <v>-8100</v>
      </c>
      <c r="R19" s="628">
        <f t="shared" si="4"/>
        <v>-5.0154798761609909</v>
      </c>
      <c r="S19" s="629">
        <f>Gen!U26</f>
        <v>2468</v>
      </c>
      <c r="T19" s="625">
        <f t="shared" si="9"/>
        <v>44151</v>
      </c>
      <c r="U19" s="581"/>
      <c r="V19" s="583">
        <f t="shared" si="5"/>
        <v>7854.7</v>
      </c>
      <c r="W19" s="580">
        <v>7855.6</v>
      </c>
      <c r="X19" s="583">
        <f t="shared" si="0"/>
        <v>180.00000000010914</v>
      </c>
      <c r="Y19" s="625">
        <f t="shared" si="10"/>
        <v>44151</v>
      </c>
      <c r="Z19" s="581"/>
      <c r="AA19" s="578"/>
      <c r="AB19" s="582">
        <f>'Water-Meter'!P21</f>
        <v>20512</v>
      </c>
      <c r="AC19" s="637">
        <f t="shared" si="11"/>
        <v>-20511</v>
      </c>
    </row>
    <row r="20" spans="1:29" ht="18.75" x14ac:dyDescent="0.3">
      <c r="A20" s="648">
        <f>Gen!C27</f>
        <v>0.03</v>
      </c>
      <c r="B20" s="594">
        <f>Gen!B27</f>
        <v>44152</v>
      </c>
      <c r="C20" s="581"/>
      <c r="D20" s="583">
        <f t="shared" si="1"/>
        <v>8929.5</v>
      </c>
      <c r="E20" s="579">
        <v>8931.5</v>
      </c>
      <c r="F20" s="583">
        <f t="shared" si="12"/>
        <v>240</v>
      </c>
      <c r="G20" s="578"/>
      <c r="H20" s="625">
        <f t="shared" si="6"/>
        <v>44152</v>
      </c>
      <c r="I20" s="581"/>
      <c r="J20" s="626">
        <f>'Water-Meter'!G22</f>
        <v>38000</v>
      </c>
      <c r="K20" s="627">
        <f>'Water-Meter'!G22</f>
        <v>38000</v>
      </c>
      <c r="L20" s="578">
        <f t="shared" si="3"/>
        <v>0</v>
      </c>
      <c r="M20" s="625">
        <f t="shared" si="7"/>
        <v>44152</v>
      </c>
      <c r="N20" s="581"/>
      <c r="O20" s="6">
        <f>'Water-Meter'!J22</f>
        <v>8102</v>
      </c>
      <c r="P20" s="582">
        <f>'Water-Meter'!J22</f>
        <v>8102</v>
      </c>
      <c r="Q20" s="578">
        <f t="shared" si="8"/>
        <v>-8101</v>
      </c>
      <c r="R20" s="628">
        <f t="shared" si="4"/>
        <v>-5.0160990712074307</v>
      </c>
      <c r="S20" s="629">
        <f>Gen!U27</f>
        <v>2266</v>
      </c>
      <c r="T20" s="625">
        <f t="shared" si="9"/>
        <v>44152</v>
      </c>
      <c r="U20" s="581"/>
      <c r="V20" s="583">
        <f t="shared" si="5"/>
        <v>7855.6</v>
      </c>
      <c r="W20" s="580">
        <v>7856</v>
      </c>
      <c r="X20" s="583">
        <f t="shared" si="0"/>
        <v>79.99999999992724</v>
      </c>
      <c r="Y20" s="625">
        <f t="shared" si="10"/>
        <v>44152</v>
      </c>
      <c r="Z20" s="581"/>
      <c r="AA20" s="578"/>
      <c r="AB20" s="582">
        <f>'Water-Meter'!P22</f>
        <v>20514</v>
      </c>
      <c r="AC20" s="637">
        <f t="shared" si="11"/>
        <v>-20512</v>
      </c>
    </row>
    <row r="21" spans="1:29" ht="18.75" x14ac:dyDescent="0.3">
      <c r="A21" s="648">
        <f>Gen!C28</f>
        <v>0.104</v>
      </c>
      <c r="B21" s="594">
        <f>Gen!B28</f>
        <v>44153</v>
      </c>
      <c r="C21" s="581"/>
      <c r="D21" s="583">
        <f t="shared" si="1"/>
        <v>8931.5</v>
      </c>
      <c r="E21" s="579">
        <v>8933.5</v>
      </c>
      <c r="F21" s="583">
        <f t="shared" si="12"/>
        <v>240</v>
      </c>
      <c r="G21" s="578"/>
      <c r="H21" s="625">
        <f t="shared" si="6"/>
        <v>44153</v>
      </c>
      <c r="I21" s="581"/>
      <c r="J21" s="626">
        <f>'Water-Meter'!G23</f>
        <v>38000</v>
      </c>
      <c r="K21" s="627">
        <f>'Water-Meter'!G23</f>
        <v>38000</v>
      </c>
      <c r="L21" s="578">
        <f t="shared" si="3"/>
        <v>0</v>
      </c>
      <c r="M21" s="625">
        <f t="shared" si="7"/>
        <v>44153</v>
      </c>
      <c r="N21" s="581"/>
      <c r="O21" s="6">
        <f>'Water-Meter'!J23</f>
        <v>8103</v>
      </c>
      <c r="P21" s="582">
        <f>'Water-Meter'!J23</f>
        <v>8103</v>
      </c>
      <c r="Q21" s="578">
        <f t="shared" ref="Q21:Q35" si="13">N21-O20</f>
        <v>-8102</v>
      </c>
      <c r="R21" s="628">
        <f t="shared" ref="R21:R35" si="14">SUM(Q21/1615)</f>
        <v>-5.0167182662538696</v>
      </c>
      <c r="S21" s="629">
        <f>Gen!U28</f>
        <v>2398</v>
      </c>
      <c r="T21" s="625">
        <f t="shared" si="9"/>
        <v>44153</v>
      </c>
      <c r="U21" s="581"/>
      <c r="V21" s="583">
        <f t="shared" si="5"/>
        <v>7856</v>
      </c>
      <c r="W21" s="580">
        <v>7857.1</v>
      </c>
      <c r="X21" s="583">
        <f t="shared" si="0"/>
        <v>220.00000000007276</v>
      </c>
      <c r="Y21" s="625">
        <f t="shared" si="10"/>
        <v>44153</v>
      </c>
      <c r="Z21" s="581"/>
      <c r="AA21" s="578"/>
      <c r="AB21" s="582">
        <f>'Water-Meter'!P23</f>
        <v>20517</v>
      </c>
      <c r="AC21" s="637">
        <f t="shared" si="11"/>
        <v>-20514</v>
      </c>
    </row>
    <row r="22" spans="1:29" ht="18.75" x14ac:dyDescent="0.3">
      <c r="A22" s="648">
        <f>Gen!C29</f>
        <v>5.1999999999999998E-2</v>
      </c>
      <c r="B22" s="594">
        <f>Gen!B29</f>
        <v>44154</v>
      </c>
      <c r="C22" s="578"/>
      <c r="D22" s="583">
        <f t="shared" si="1"/>
        <v>8933.5</v>
      </c>
      <c r="E22" s="579">
        <v>8935.6</v>
      </c>
      <c r="F22" s="583">
        <f t="shared" si="12"/>
        <v>252.00000000004366</v>
      </c>
      <c r="G22" s="578"/>
      <c r="H22" s="625">
        <f t="shared" si="6"/>
        <v>44154</v>
      </c>
      <c r="I22" s="578"/>
      <c r="J22" s="626">
        <f>'Water-Meter'!G24</f>
        <v>38000</v>
      </c>
      <c r="K22" s="627">
        <f>'Water-Meter'!G24</f>
        <v>38000</v>
      </c>
      <c r="L22" s="578">
        <f t="shared" si="3"/>
        <v>0</v>
      </c>
      <c r="M22" s="625">
        <f t="shared" si="7"/>
        <v>44154</v>
      </c>
      <c r="N22" s="578"/>
      <c r="O22" s="6">
        <f>'Water-Meter'!J24</f>
        <v>8105</v>
      </c>
      <c r="P22" s="582">
        <f>'Water-Meter'!J24</f>
        <v>8105</v>
      </c>
      <c r="Q22" s="578">
        <f t="shared" si="13"/>
        <v>-8103</v>
      </c>
      <c r="R22" s="628">
        <f t="shared" si="14"/>
        <v>-5.0173374613003094</v>
      </c>
      <c r="S22" s="629">
        <f>Gen!U29</f>
        <v>2587</v>
      </c>
      <c r="T22" s="625">
        <f t="shared" si="9"/>
        <v>44154</v>
      </c>
      <c r="U22" s="578"/>
      <c r="V22" s="583">
        <f t="shared" si="5"/>
        <v>7857.1</v>
      </c>
      <c r="W22" s="580">
        <v>7857.7</v>
      </c>
      <c r="X22" s="583">
        <f t="shared" si="0"/>
        <v>119.99999999989086</v>
      </c>
      <c r="Y22" s="625">
        <f t="shared" si="10"/>
        <v>44154</v>
      </c>
      <c r="Z22" s="578"/>
      <c r="AA22" s="578"/>
      <c r="AB22" s="582">
        <f>'Water-Meter'!P24</f>
        <v>20522</v>
      </c>
      <c r="AC22" s="637">
        <f t="shared" si="11"/>
        <v>-20517</v>
      </c>
    </row>
    <row r="23" spans="1:29" ht="18.75" x14ac:dyDescent="0.3">
      <c r="A23" s="648">
        <f>Gen!C30</f>
        <v>5.1999999999999998E-2</v>
      </c>
      <c r="B23" s="594">
        <f>Gen!B30</f>
        <v>44155</v>
      </c>
      <c r="C23" s="581"/>
      <c r="D23" s="583">
        <f t="shared" si="1"/>
        <v>8935.6</v>
      </c>
      <c r="E23" s="579">
        <v>8937.6</v>
      </c>
      <c r="F23" s="583">
        <f t="shared" ref="F23:F34" si="15">SUM(E23-D23)*120</f>
        <v>240</v>
      </c>
      <c r="G23" s="578"/>
      <c r="H23" s="625">
        <f t="shared" si="6"/>
        <v>44155</v>
      </c>
      <c r="I23" s="581"/>
      <c r="J23" s="626">
        <f>'Water-Meter'!G25</f>
        <v>38000</v>
      </c>
      <c r="K23" s="627">
        <f>'Water-Meter'!G26</f>
        <v>38000</v>
      </c>
      <c r="L23" s="578">
        <f t="shared" si="3"/>
        <v>0</v>
      </c>
      <c r="M23" s="625">
        <f t="shared" si="7"/>
        <v>44155</v>
      </c>
      <c r="N23" s="581"/>
      <c r="O23" s="6">
        <f>'Water-Meter'!J25</f>
        <v>8106</v>
      </c>
      <c r="P23" s="582">
        <f>'Water-Meter'!J25</f>
        <v>8106</v>
      </c>
      <c r="Q23" s="578">
        <f t="shared" si="13"/>
        <v>-8105</v>
      </c>
      <c r="R23" s="628">
        <f t="shared" si="14"/>
        <v>-5.0185758513931891</v>
      </c>
      <c r="S23" s="629">
        <f>Gen!U30</f>
        <v>2592</v>
      </c>
      <c r="T23" s="625">
        <f t="shared" si="9"/>
        <v>44155</v>
      </c>
      <c r="U23" s="581"/>
      <c r="V23" s="583">
        <f t="shared" si="5"/>
        <v>7857.7</v>
      </c>
      <c r="W23" s="580">
        <v>7858.1</v>
      </c>
      <c r="X23" s="583">
        <f t="shared" si="0"/>
        <v>80.000000000109139</v>
      </c>
      <c r="Y23" s="625">
        <f t="shared" si="10"/>
        <v>44155</v>
      </c>
      <c r="Z23" s="581"/>
      <c r="AA23" s="578"/>
      <c r="AB23" s="582">
        <f>'Water-Meter'!P25</f>
        <v>20523</v>
      </c>
      <c r="AC23" s="637">
        <f t="shared" si="11"/>
        <v>-20522</v>
      </c>
    </row>
    <row r="24" spans="1:29" ht="18.75" x14ac:dyDescent="0.3">
      <c r="A24" s="648">
        <f>Gen!C31</f>
        <v>6.5000000000000002E-2</v>
      </c>
      <c r="B24" s="594">
        <f>Gen!B31</f>
        <v>44156</v>
      </c>
      <c r="C24" s="581"/>
      <c r="D24" s="583">
        <f t="shared" ref="D24:D35" si="16">SUM(E23)</f>
        <v>8937.6</v>
      </c>
      <c r="E24" s="579">
        <v>8939.7000000000007</v>
      </c>
      <c r="F24" s="583">
        <f t="shared" si="15"/>
        <v>252.00000000004366</v>
      </c>
      <c r="G24" s="578"/>
      <c r="H24" s="625">
        <f t="shared" si="6"/>
        <v>44156</v>
      </c>
      <c r="I24" s="581"/>
      <c r="J24" s="626">
        <f>'Water-Meter'!G26</f>
        <v>38000</v>
      </c>
      <c r="K24" s="627">
        <f>'Water-Meter'!G27</f>
        <v>38000</v>
      </c>
      <c r="L24" s="578">
        <f t="shared" si="3"/>
        <v>0</v>
      </c>
      <c r="M24" s="625">
        <f t="shared" si="7"/>
        <v>44156</v>
      </c>
      <c r="N24" s="581"/>
      <c r="O24" s="6">
        <f>'Water-Meter'!J26</f>
        <v>8107</v>
      </c>
      <c r="P24" s="582">
        <f>'Water-Meter'!J26</f>
        <v>8107</v>
      </c>
      <c r="Q24" s="578">
        <f t="shared" si="13"/>
        <v>-8106</v>
      </c>
      <c r="R24" s="628">
        <f t="shared" si="14"/>
        <v>-5.0191950464396289</v>
      </c>
      <c r="S24" s="629">
        <f>Gen!U31</f>
        <v>2673</v>
      </c>
      <c r="T24" s="625">
        <v>5835.7</v>
      </c>
      <c r="U24" s="581"/>
      <c r="V24" s="583">
        <f t="shared" si="5"/>
        <v>7858.1</v>
      </c>
      <c r="W24" s="580">
        <v>7859.1</v>
      </c>
      <c r="X24" s="583">
        <f t="shared" si="0"/>
        <v>200</v>
      </c>
      <c r="Y24" s="625">
        <f t="shared" si="10"/>
        <v>5835.7</v>
      </c>
      <c r="Z24" s="581"/>
      <c r="AA24" s="578"/>
      <c r="AB24" s="582">
        <f>'Water-Meter'!P26</f>
        <v>20527</v>
      </c>
      <c r="AC24" s="637">
        <f t="shared" si="11"/>
        <v>-20523</v>
      </c>
    </row>
    <row r="25" spans="1:29" ht="18.75" x14ac:dyDescent="0.3">
      <c r="A25" s="648">
        <f>Gen!C32</f>
        <v>0.1</v>
      </c>
      <c r="B25" s="594">
        <f>Gen!B32</f>
        <v>44157</v>
      </c>
      <c r="C25" s="581"/>
      <c r="D25" s="583">
        <f t="shared" si="16"/>
        <v>8939.7000000000007</v>
      </c>
      <c r="E25" s="579">
        <v>8941.7000000000007</v>
      </c>
      <c r="F25" s="583">
        <f t="shared" si="15"/>
        <v>240</v>
      </c>
      <c r="G25" s="578"/>
      <c r="H25" s="625">
        <f t="shared" si="6"/>
        <v>44157</v>
      </c>
      <c r="I25" s="581"/>
      <c r="J25" s="626">
        <f>'Water-Meter'!G27</f>
        <v>38000</v>
      </c>
      <c r="K25" s="627">
        <f>'Water-Meter'!G28</f>
        <v>38000</v>
      </c>
      <c r="L25" s="578">
        <f t="shared" si="3"/>
        <v>0</v>
      </c>
      <c r="M25" s="625">
        <f t="shared" si="7"/>
        <v>44157</v>
      </c>
      <c r="N25" s="581"/>
      <c r="O25" s="6">
        <f>'Water-Meter'!J27</f>
        <v>8108</v>
      </c>
      <c r="P25" s="582">
        <f>'Water-Meter'!J27</f>
        <v>8108</v>
      </c>
      <c r="Q25" s="578">
        <f t="shared" si="13"/>
        <v>-8107</v>
      </c>
      <c r="R25" s="628">
        <f t="shared" si="14"/>
        <v>-5.0198142414860678</v>
      </c>
      <c r="S25" s="629">
        <f>Gen!U32</f>
        <v>2585</v>
      </c>
      <c r="T25" s="625">
        <f t="shared" si="9"/>
        <v>44157</v>
      </c>
      <c r="U25" s="581"/>
      <c r="V25" s="583">
        <f t="shared" si="5"/>
        <v>7859.1</v>
      </c>
      <c r="W25" s="580">
        <v>7860.1</v>
      </c>
      <c r="X25" s="583">
        <f t="shared" si="0"/>
        <v>200</v>
      </c>
      <c r="Y25" s="625">
        <f t="shared" si="10"/>
        <v>44157</v>
      </c>
      <c r="Z25" s="581"/>
      <c r="AA25" s="578"/>
      <c r="AB25" s="582">
        <f>'Water-Meter'!P27</f>
        <v>20533</v>
      </c>
      <c r="AC25" s="637">
        <f t="shared" si="11"/>
        <v>-20527</v>
      </c>
    </row>
    <row r="26" spans="1:29" ht="18.75" x14ac:dyDescent="0.3">
      <c r="A26" s="648">
        <f>Gen!C33</f>
        <v>6.5000000000000002E-2</v>
      </c>
      <c r="B26" s="594">
        <f>Gen!B33</f>
        <v>44158</v>
      </c>
      <c r="C26" s="581"/>
      <c r="D26" s="583">
        <f t="shared" si="16"/>
        <v>8941.7000000000007</v>
      </c>
      <c r="E26" s="579">
        <v>8943.6</v>
      </c>
      <c r="F26" s="583">
        <f t="shared" si="15"/>
        <v>227.99999999995634</v>
      </c>
      <c r="G26" s="578"/>
      <c r="H26" s="625">
        <f t="shared" si="6"/>
        <v>44158</v>
      </c>
      <c r="I26" s="581"/>
      <c r="J26" s="626">
        <f>'Water-Meter'!G28</f>
        <v>38000</v>
      </c>
      <c r="K26" s="627">
        <f>'Water-Meter'!G29</f>
        <v>38000</v>
      </c>
      <c r="L26" s="578">
        <f t="shared" si="3"/>
        <v>0</v>
      </c>
      <c r="M26" s="625">
        <f t="shared" si="7"/>
        <v>44158</v>
      </c>
      <c r="N26" s="581"/>
      <c r="O26" s="6">
        <f>'Water-Meter'!J28</f>
        <v>8109</v>
      </c>
      <c r="P26" s="582">
        <f>'Water-Meter'!J28</f>
        <v>8109</v>
      </c>
      <c r="Q26" s="578">
        <f t="shared" si="13"/>
        <v>-8108</v>
      </c>
      <c r="R26" s="628">
        <f t="shared" si="14"/>
        <v>-5.0204334365325076</v>
      </c>
      <c r="S26" s="629">
        <f>Gen!U33</f>
        <v>2587</v>
      </c>
      <c r="T26" s="625">
        <f t="shared" si="9"/>
        <v>44158</v>
      </c>
      <c r="U26" s="581"/>
      <c r="V26" s="583">
        <f t="shared" si="5"/>
        <v>7860.1</v>
      </c>
      <c r="W26" s="580">
        <v>7861.1</v>
      </c>
      <c r="X26" s="583">
        <f t="shared" si="0"/>
        <v>200</v>
      </c>
      <c r="Y26" s="625">
        <f t="shared" si="10"/>
        <v>44158</v>
      </c>
      <c r="Z26" s="581"/>
      <c r="AA26" s="578"/>
      <c r="AB26" s="582">
        <f>'Water-Meter'!P28</f>
        <v>20537</v>
      </c>
      <c r="AC26" s="637">
        <f t="shared" si="11"/>
        <v>-20533</v>
      </c>
    </row>
    <row r="27" spans="1:29" ht="18.75" x14ac:dyDescent="0.3">
      <c r="A27" s="648">
        <f>Gen!C34</f>
        <v>6.5000000000000002E-2</v>
      </c>
      <c r="B27" s="594">
        <f>Gen!B34</f>
        <v>44159</v>
      </c>
      <c r="C27" s="581"/>
      <c r="D27" s="583">
        <f t="shared" si="16"/>
        <v>8943.6</v>
      </c>
      <c r="E27" s="579">
        <v>8945.6</v>
      </c>
      <c r="F27" s="583">
        <f t="shared" si="15"/>
        <v>240</v>
      </c>
      <c r="G27" s="578"/>
      <c r="H27" s="625">
        <f t="shared" si="6"/>
        <v>44159</v>
      </c>
      <c r="I27" s="581"/>
      <c r="J27" s="626">
        <f>'Water-Meter'!G29</f>
        <v>38000</v>
      </c>
      <c r="K27" s="627">
        <f>'Water-Meter'!G30</f>
        <v>38000</v>
      </c>
      <c r="L27" s="578">
        <f t="shared" si="3"/>
        <v>0</v>
      </c>
      <c r="M27" s="625">
        <f t="shared" si="7"/>
        <v>44159</v>
      </c>
      <c r="N27" s="581"/>
      <c r="O27" s="6">
        <f>'Water-Meter'!J29</f>
        <v>8110</v>
      </c>
      <c r="P27" s="582">
        <f>'Water-Meter'!J29</f>
        <v>8110</v>
      </c>
      <c r="Q27" s="578">
        <f t="shared" si="13"/>
        <v>-8109</v>
      </c>
      <c r="R27" s="628">
        <f t="shared" si="14"/>
        <v>-5.0210526315789474</v>
      </c>
      <c r="S27" s="629">
        <f>Gen!U34</f>
        <v>2376</v>
      </c>
      <c r="T27" s="625">
        <f t="shared" si="9"/>
        <v>44159</v>
      </c>
      <c r="U27" s="581"/>
      <c r="V27" s="583">
        <f t="shared" si="5"/>
        <v>7861.1</v>
      </c>
      <c r="W27" s="580">
        <v>7861.5</v>
      </c>
      <c r="X27" s="583">
        <f t="shared" si="0"/>
        <v>79.99999999992724</v>
      </c>
      <c r="Y27" s="625">
        <f t="shared" si="10"/>
        <v>44159</v>
      </c>
      <c r="Z27" s="581"/>
      <c r="AA27" s="578"/>
      <c r="AB27" s="582">
        <f>'Water-Meter'!P29</f>
        <v>20541</v>
      </c>
      <c r="AC27" s="637">
        <f t="shared" si="11"/>
        <v>-20537</v>
      </c>
    </row>
    <row r="28" spans="1:29" ht="18.75" x14ac:dyDescent="0.3">
      <c r="A28" s="648">
        <f>Gen!C35</f>
        <v>3.9E-2</v>
      </c>
      <c r="B28" s="594">
        <f>Gen!B35</f>
        <v>44160</v>
      </c>
      <c r="C28" s="581"/>
      <c r="D28" s="583">
        <f t="shared" si="16"/>
        <v>8945.6</v>
      </c>
      <c r="E28" s="579">
        <v>8947.6</v>
      </c>
      <c r="F28" s="583">
        <f t="shared" si="15"/>
        <v>240</v>
      </c>
      <c r="G28" s="578"/>
      <c r="H28" s="625">
        <f t="shared" si="6"/>
        <v>44160</v>
      </c>
      <c r="I28" s="581"/>
      <c r="J28" s="626">
        <f>'Water-Meter'!G30</f>
        <v>38000</v>
      </c>
      <c r="K28" s="627">
        <f>'Water-Meter'!G31</f>
        <v>38000</v>
      </c>
      <c r="L28" s="578">
        <f t="shared" si="3"/>
        <v>0</v>
      </c>
      <c r="M28" s="625">
        <f t="shared" si="7"/>
        <v>44160</v>
      </c>
      <c r="N28" s="581"/>
      <c r="O28" s="6">
        <f>'Water-Meter'!J30</f>
        <v>8111</v>
      </c>
      <c r="P28" s="582">
        <f>'Water-Meter'!J30</f>
        <v>8111</v>
      </c>
      <c r="Q28" s="578">
        <f t="shared" si="13"/>
        <v>-8110</v>
      </c>
      <c r="R28" s="628">
        <f t="shared" si="14"/>
        <v>-5.0216718266253872</v>
      </c>
      <c r="S28" s="629">
        <f>Gen!U35</f>
        <v>2258</v>
      </c>
      <c r="T28" s="625">
        <f t="shared" si="9"/>
        <v>44160</v>
      </c>
      <c r="U28" s="581"/>
      <c r="V28" s="583">
        <f t="shared" si="5"/>
        <v>7861.5</v>
      </c>
      <c r="W28" s="580">
        <v>7861.7</v>
      </c>
      <c r="X28" s="583">
        <f t="shared" si="0"/>
        <v>39.99999999996362</v>
      </c>
      <c r="Y28" s="625">
        <f t="shared" si="10"/>
        <v>44160</v>
      </c>
      <c r="Z28" s="581"/>
      <c r="AA28" s="578"/>
      <c r="AB28" s="582">
        <f>'Water-Meter'!P30</f>
        <v>20544</v>
      </c>
      <c r="AC28" s="637">
        <f t="shared" si="11"/>
        <v>-20541</v>
      </c>
    </row>
    <row r="29" spans="1:29" ht="18.75" x14ac:dyDescent="0.3">
      <c r="A29" s="648">
        <f>Gen!C36</f>
        <v>1.2999999999999999E-2</v>
      </c>
      <c r="B29" s="594">
        <f>Gen!B36</f>
        <v>44161</v>
      </c>
      <c r="C29" s="581"/>
      <c r="D29" s="583">
        <f t="shared" si="16"/>
        <v>8947.6</v>
      </c>
      <c r="E29" s="579">
        <v>8949.2999999999993</v>
      </c>
      <c r="F29" s="583">
        <f t="shared" si="15"/>
        <v>203.99999999986903</v>
      </c>
      <c r="G29" s="578"/>
      <c r="H29" s="625">
        <f t="shared" si="6"/>
        <v>44161</v>
      </c>
      <c r="I29" s="581"/>
      <c r="J29" s="626">
        <f>'Water-Meter'!G31</f>
        <v>38000</v>
      </c>
      <c r="K29" s="627">
        <f>'Water-Meter'!G32</f>
        <v>38000</v>
      </c>
      <c r="L29" s="578">
        <f t="shared" si="3"/>
        <v>0</v>
      </c>
      <c r="M29" s="625">
        <f t="shared" si="7"/>
        <v>44161</v>
      </c>
      <c r="N29" s="581"/>
      <c r="O29" s="6">
        <f>'Water-Meter'!J31</f>
        <v>8112</v>
      </c>
      <c r="P29" s="582">
        <f>'Water-Meter'!J31</f>
        <v>8112</v>
      </c>
      <c r="Q29" s="578">
        <f t="shared" si="13"/>
        <v>-8111</v>
      </c>
      <c r="R29" s="628">
        <f t="shared" si="14"/>
        <v>-5.0222910216718271</v>
      </c>
      <c r="S29" s="629">
        <f>Gen!U36</f>
        <v>2255</v>
      </c>
      <c r="T29" s="625">
        <f t="shared" si="9"/>
        <v>44161</v>
      </c>
      <c r="U29" s="581"/>
      <c r="V29" s="583">
        <f t="shared" si="5"/>
        <v>7861.7</v>
      </c>
      <c r="W29" s="580">
        <v>7862.5</v>
      </c>
      <c r="X29" s="583">
        <f t="shared" si="0"/>
        <v>160.00000000003638</v>
      </c>
      <c r="Y29" s="625">
        <f t="shared" si="10"/>
        <v>44161</v>
      </c>
      <c r="Z29" s="581"/>
      <c r="AA29" s="578"/>
      <c r="AB29" s="582">
        <f>'Water-Meter'!P31</f>
        <v>20546</v>
      </c>
      <c r="AC29" s="637">
        <f t="shared" si="11"/>
        <v>-20544</v>
      </c>
    </row>
    <row r="30" spans="1:29" ht="18.75" x14ac:dyDescent="0.3">
      <c r="A30" s="648">
        <f>Gen!C37</f>
        <v>0.01</v>
      </c>
      <c r="B30" s="594">
        <f>Gen!B37</f>
        <v>44162</v>
      </c>
      <c r="C30" s="581"/>
      <c r="D30" s="583">
        <f t="shared" si="16"/>
        <v>8949.2999999999993</v>
      </c>
      <c r="E30" s="579">
        <v>8951.1</v>
      </c>
      <c r="F30" s="583">
        <f t="shared" si="15"/>
        <v>216.00000000013097</v>
      </c>
      <c r="G30" s="578"/>
      <c r="H30" s="625">
        <f t="shared" si="6"/>
        <v>44162</v>
      </c>
      <c r="I30" s="581"/>
      <c r="J30" s="626">
        <f>'Water-Meter'!G32</f>
        <v>38000</v>
      </c>
      <c r="K30" s="627">
        <f>'Water-Meter'!G33</f>
        <v>38000</v>
      </c>
      <c r="L30" s="578">
        <f t="shared" si="3"/>
        <v>0</v>
      </c>
      <c r="M30" s="625">
        <f t="shared" si="7"/>
        <v>44162</v>
      </c>
      <c r="N30" s="581"/>
      <c r="O30" s="6">
        <f>'Water-Meter'!J32</f>
        <v>8113</v>
      </c>
      <c r="P30" s="582">
        <f>'Water-Meter'!J32</f>
        <v>8113</v>
      </c>
      <c r="Q30" s="578">
        <f t="shared" si="13"/>
        <v>-8112</v>
      </c>
      <c r="R30" s="628">
        <f t="shared" si="14"/>
        <v>-5.022910216718266</v>
      </c>
      <c r="S30" s="629">
        <f>Gen!U37</f>
        <v>2395</v>
      </c>
      <c r="T30" s="625">
        <f t="shared" si="9"/>
        <v>44162</v>
      </c>
      <c r="U30" s="581"/>
      <c r="V30" s="583">
        <f t="shared" si="5"/>
        <v>7862.5</v>
      </c>
      <c r="W30" s="580">
        <v>7863.1</v>
      </c>
      <c r="X30" s="583">
        <f t="shared" si="0"/>
        <v>120.00000000007276</v>
      </c>
      <c r="Y30" s="625">
        <f t="shared" si="10"/>
        <v>44162</v>
      </c>
      <c r="Z30" s="581"/>
      <c r="AA30" s="578"/>
      <c r="AB30" s="582">
        <f>'Water-Meter'!P32</f>
        <v>20549</v>
      </c>
      <c r="AC30" s="637">
        <f t="shared" si="11"/>
        <v>-20546</v>
      </c>
    </row>
    <row r="31" spans="1:29" ht="18.75" x14ac:dyDescent="0.3">
      <c r="A31" s="648">
        <f>Gen!C38</f>
        <v>2.5999999999999999E-2</v>
      </c>
      <c r="B31" s="594">
        <f>Gen!B38</f>
        <v>44163</v>
      </c>
      <c r="C31" s="581"/>
      <c r="D31" s="583">
        <f t="shared" si="16"/>
        <v>8951.1</v>
      </c>
      <c r="E31" s="579">
        <v>8952.4</v>
      </c>
      <c r="F31" s="583">
        <f t="shared" si="15"/>
        <v>155.99999999991269</v>
      </c>
      <c r="G31" s="578"/>
      <c r="H31" s="625">
        <f t="shared" si="6"/>
        <v>44163</v>
      </c>
      <c r="I31" s="581"/>
      <c r="J31" s="626">
        <f>'Water-Meter'!G33</f>
        <v>38000</v>
      </c>
      <c r="K31" s="627">
        <f>'Water-Meter'!G34</f>
        <v>38000</v>
      </c>
      <c r="L31" s="578">
        <f t="shared" si="3"/>
        <v>0</v>
      </c>
      <c r="M31" s="625">
        <f t="shared" si="7"/>
        <v>44163</v>
      </c>
      <c r="N31" s="581"/>
      <c r="O31" s="6">
        <f>'Water-Meter'!J33</f>
        <v>8114</v>
      </c>
      <c r="P31" s="582">
        <f>'Water-Meter'!J33</f>
        <v>8114</v>
      </c>
      <c r="Q31" s="578">
        <f t="shared" si="13"/>
        <v>-8113</v>
      </c>
      <c r="R31" s="628">
        <f t="shared" si="14"/>
        <v>-5.0235294117647058</v>
      </c>
      <c r="S31" s="629">
        <f>Gen!U38</f>
        <v>0</v>
      </c>
      <c r="T31" s="625">
        <f>M31</f>
        <v>44163</v>
      </c>
      <c r="U31" s="581"/>
      <c r="V31" s="583">
        <f t="shared" si="5"/>
        <v>7863.1</v>
      </c>
      <c r="W31" s="580">
        <v>7863.8</v>
      </c>
      <c r="X31" s="583">
        <f t="shared" si="0"/>
        <v>139.99999999996362</v>
      </c>
      <c r="Y31" s="625">
        <f>T31</f>
        <v>44163</v>
      </c>
      <c r="Z31" s="581"/>
      <c r="AA31" s="578"/>
      <c r="AB31" s="582">
        <f>'Water-Meter'!P33</f>
        <v>20552</v>
      </c>
      <c r="AC31" s="637">
        <f t="shared" si="11"/>
        <v>-20549</v>
      </c>
    </row>
    <row r="32" spans="1:29" ht="18.75" x14ac:dyDescent="0.3">
      <c r="A32" s="648">
        <f>Gen!C39</f>
        <v>2.5999999999999999E-2</v>
      </c>
      <c r="B32" s="594">
        <f>Gen!B39</f>
        <v>44164</v>
      </c>
      <c r="C32" s="581"/>
      <c r="D32" s="583">
        <f t="shared" si="16"/>
        <v>8952.4</v>
      </c>
      <c r="E32" s="579">
        <v>8954.1</v>
      </c>
      <c r="F32" s="583">
        <f t="shared" si="15"/>
        <v>204.00000000008731</v>
      </c>
      <c r="G32" s="578"/>
      <c r="H32" s="625">
        <f t="shared" si="6"/>
        <v>44164</v>
      </c>
      <c r="I32" s="581"/>
      <c r="J32" s="626">
        <f>'Water-Meter'!G34</f>
        <v>38000</v>
      </c>
      <c r="K32" s="627">
        <f>'Water-Meter'!G34</f>
        <v>38000</v>
      </c>
      <c r="L32" s="578">
        <f t="shared" si="3"/>
        <v>0</v>
      </c>
      <c r="M32" s="625">
        <f t="shared" si="7"/>
        <v>44164</v>
      </c>
      <c r="N32" s="581"/>
      <c r="O32" s="6">
        <f>'Water-Meter'!J34</f>
        <v>8115</v>
      </c>
      <c r="P32" s="582">
        <f>'Water-Meter'!J34</f>
        <v>8115</v>
      </c>
      <c r="Q32" s="578">
        <f t="shared" si="13"/>
        <v>-8114</v>
      </c>
      <c r="R32" s="628">
        <f t="shared" si="14"/>
        <v>-5.0241486068111456</v>
      </c>
      <c r="S32" s="629">
        <f>Gen!U39</f>
        <v>2264</v>
      </c>
      <c r="T32" s="625">
        <f t="shared" ref="T32:T35" si="17">M32</f>
        <v>44164</v>
      </c>
      <c r="U32" s="581"/>
      <c r="V32" s="583">
        <f t="shared" si="5"/>
        <v>7863.8</v>
      </c>
      <c r="W32" s="580">
        <v>7864.6</v>
      </c>
      <c r="X32" s="583">
        <f t="shared" si="0"/>
        <v>160.00000000003638</v>
      </c>
      <c r="Y32" s="625">
        <f t="shared" ref="Y32:Y35" si="18">T32</f>
        <v>44164</v>
      </c>
      <c r="Z32" s="581"/>
      <c r="AA32" s="578"/>
      <c r="AB32" s="582">
        <f>'Water-Meter'!P34</f>
        <v>20556</v>
      </c>
      <c r="AC32" s="637">
        <f t="shared" si="11"/>
        <v>-20552</v>
      </c>
    </row>
    <row r="33" spans="1:29" ht="18.75" x14ac:dyDescent="0.3">
      <c r="A33" s="648">
        <f>Gen!C40</f>
        <v>3.9E-2</v>
      </c>
      <c r="B33" s="594">
        <f>Gen!B40</f>
        <v>44165</v>
      </c>
      <c r="C33" s="581"/>
      <c r="D33" s="583">
        <f t="shared" si="16"/>
        <v>8954.1</v>
      </c>
      <c r="E33" s="579">
        <v>8955.5</v>
      </c>
      <c r="F33" s="583">
        <f t="shared" si="15"/>
        <v>167.99999999995634</v>
      </c>
      <c r="G33" s="578"/>
      <c r="H33" s="625">
        <f t="shared" si="6"/>
        <v>44165</v>
      </c>
      <c r="I33" s="581"/>
      <c r="J33" s="626">
        <f>'Water-Meter'!G35</f>
        <v>38000</v>
      </c>
      <c r="K33" s="627">
        <f>'Water-Meter'!G35</f>
        <v>38000</v>
      </c>
      <c r="L33" s="578">
        <f t="shared" si="3"/>
        <v>0</v>
      </c>
      <c r="M33" s="625">
        <f t="shared" si="7"/>
        <v>44165</v>
      </c>
      <c r="N33" s="581"/>
      <c r="O33" s="6">
        <f>'Water-Meter'!J35</f>
        <v>8116</v>
      </c>
      <c r="P33" s="582">
        <f>'Water-Meter'!J35</f>
        <v>8116</v>
      </c>
      <c r="Q33" s="578">
        <f t="shared" si="13"/>
        <v>-8115</v>
      </c>
      <c r="R33" s="628">
        <f t="shared" si="14"/>
        <v>-5.0247678018575854</v>
      </c>
      <c r="S33" s="629">
        <f>Gen!U40</f>
        <v>0</v>
      </c>
      <c r="T33" s="625">
        <f t="shared" si="17"/>
        <v>44165</v>
      </c>
      <c r="U33" s="581"/>
      <c r="V33" s="583">
        <f t="shared" si="5"/>
        <v>7864.6</v>
      </c>
      <c r="W33" s="580">
        <v>7865.3</v>
      </c>
      <c r="X33" s="583">
        <f t="shared" si="0"/>
        <v>139.99999999996362</v>
      </c>
      <c r="Y33" s="625">
        <f t="shared" si="18"/>
        <v>44165</v>
      </c>
      <c r="Z33" s="581"/>
      <c r="AA33" s="578"/>
      <c r="AB33" s="582">
        <f>'Water-Meter'!P35</f>
        <v>20558</v>
      </c>
      <c r="AC33" s="637">
        <f t="shared" si="11"/>
        <v>-20556</v>
      </c>
    </row>
    <row r="34" spans="1:29" ht="18.75" x14ac:dyDescent="0.3">
      <c r="A34" s="648">
        <f>Gen!C41</f>
        <v>0</v>
      </c>
      <c r="B34" s="594">
        <f>Gen!B41</f>
        <v>44166</v>
      </c>
      <c r="C34" s="6"/>
      <c r="D34" s="583">
        <f t="shared" si="16"/>
        <v>8955.5</v>
      </c>
      <c r="E34" s="579"/>
      <c r="F34" s="583">
        <f t="shared" si="15"/>
        <v>-1074660</v>
      </c>
      <c r="G34" s="6"/>
      <c r="H34" s="625">
        <f t="shared" si="6"/>
        <v>44166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44166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-8116</v>
      </c>
      <c r="R34" s="628">
        <f t="shared" si="14"/>
        <v>-5.0253869969040244</v>
      </c>
      <c r="S34" s="629">
        <f>Gen!U41</f>
        <v>0</v>
      </c>
      <c r="T34" s="625">
        <f t="shared" si="17"/>
        <v>44166</v>
      </c>
      <c r="U34" s="6"/>
      <c r="V34" s="583">
        <f t="shared" ref="V34:V35" si="19">SUM(W33)</f>
        <v>7865.3</v>
      </c>
      <c r="W34" s="580"/>
      <c r="X34" s="583">
        <f t="shared" si="0"/>
        <v>-1573060</v>
      </c>
      <c r="Y34" s="625">
        <f t="shared" si="18"/>
        <v>44166</v>
      </c>
      <c r="Z34" s="6"/>
      <c r="AA34" s="578"/>
      <c r="AB34" s="582">
        <f>'Water-Meter'!P36</f>
        <v>0</v>
      </c>
      <c r="AC34" s="637">
        <f t="shared" si="11"/>
        <v>-20558</v>
      </c>
    </row>
    <row r="35" spans="1:29" ht="20.25" customHeight="1" thickBot="1" x14ac:dyDescent="0.35">
      <c r="A35" s="649" t="e">
        <f>[1]Gen!B42</f>
        <v>#REF!</v>
      </c>
      <c r="B35" s="595" t="e">
        <f>[1]Gen!A42</f>
        <v>#REF!</v>
      </c>
      <c r="C35" s="8"/>
      <c r="D35" s="596">
        <f t="shared" si="16"/>
        <v>0</v>
      </c>
      <c r="E35" s="597"/>
      <c r="F35" s="598">
        <f>SUM(F4:F6)</f>
        <v>635.99999999991269</v>
      </c>
      <c r="G35" s="8"/>
      <c r="H35" s="638" t="e">
        <f t="shared" si="6"/>
        <v>#REF!</v>
      </c>
      <c r="I35" s="8"/>
      <c r="J35" s="601">
        <f t="shared" ref="J35" si="20">SUM(K34)</f>
        <v>0</v>
      </c>
      <c r="K35" s="639">
        <f>'Water-Meter'!G37</f>
        <v>0</v>
      </c>
      <c r="L35" s="8">
        <f>SUM(L5:L34)</f>
        <v>0</v>
      </c>
      <c r="M35" s="638" t="e">
        <f t="shared" si="7"/>
        <v>#REF!</v>
      </c>
      <c r="N35" s="8"/>
      <c r="O35" s="601"/>
      <c r="P35" s="602">
        <f>'Water-Meter'!J37</f>
        <v>0</v>
      </c>
      <c r="Q35" s="601">
        <f t="shared" si="13"/>
        <v>0</v>
      </c>
      <c r="R35" s="640">
        <f t="shared" si="14"/>
        <v>0</v>
      </c>
      <c r="S35" s="641">
        <f>Gen!U42</f>
        <v>0</v>
      </c>
      <c r="T35" s="638" t="e">
        <f t="shared" si="17"/>
        <v>#REF!</v>
      </c>
      <c r="U35" s="8"/>
      <c r="V35" s="596">
        <f t="shared" si="19"/>
        <v>0</v>
      </c>
      <c r="W35" s="603"/>
      <c r="X35" s="596">
        <f t="shared" si="0"/>
        <v>0</v>
      </c>
      <c r="Y35" s="638" t="e">
        <f t="shared" si="18"/>
        <v>#REF!</v>
      </c>
      <c r="Z35" s="8"/>
      <c r="AA35" s="601"/>
      <c r="AB35" s="602">
        <f>'Water-Meter'!P37</f>
        <v>0</v>
      </c>
      <c r="AC35" s="642">
        <f t="shared" si="11"/>
        <v>0</v>
      </c>
    </row>
    <row r="36" spans="1:29" ht="24.75" customHeight="1" x14ac:dyDescent="0.3">
      <c r="D36" s="20"/>
      <c r="E36" s="388"/>
      <c r="L36" s="141"/>
      <c r="Q36" s="141"/>
      <c r="R36" s="169"/>
      <c r="X36" s="386">
        <f>SUM(X4:X6)</f>
        <v>460.00000000003638</v>
      </c>
      <c r="AC36" s="141"/>
    </row>
    <row r="37" spans="1:29" ht="12.75" customHeight="1" x14ac:dyDescent="0.3">
      <c r="D37" s="20"/>
      <c r="E37" s="388"/>
      <c r="G37" s="20"/>
    </row>
    <row r="38" spans="1:29" ht="12.75" customHeight="1" x14ac:dyDescent="0.2">
      <c r="E38" s="164"/>
      <c r="G38" s="20"/>
      <c r="K38" s="164"/>
      <c r="W38" s="164"/>
      <c r="AB38" s="164"/>
    </row>
    <row r="39" spans="1:29" ht="12.75" customHeight="1" x14ac:dyDescent="0.3">
      <c r="E39" s="388"/>
      <c r="G39" s="20"/>
    </row>
    <row r="40" spans="1:29" ht="12.75" customHeight="1" x14ac:dyDescent="0.2">
      <c r="D40" s="141"/>
      <c r="E40" s="164"/>
      <c r="G40" s="20"/>
      <c r="V40" s="141"/>
      <c r="W40" s="164"/>
    </row>
    <row r="41" spans="1:29" ht="12.75" customHeight="1" x14ac:dyDescent="0.3">
      <c r="E41" s="388"/>
      <c r="G41" s="20"/>
    </row>
    <row r="42" spans="1:29" ht="12.75" customHeight="1" x14ac:dyDescent="0.2">
      <c r="C42" s="165"/>
      <c r="E42" s="389"/>
      <c r="G42" s="20"/>
      <c r="U42" s="165"/>
    </row>
    <row r="43" spans="1:29" ht="18.75" x14ac:dyDescent="0.3">
      <c r="E43" s="388"/>
    </row>
    <row r="44" spans="1:29" x14ac:dyDescent="0.2">
      <c r="E44" s="389"/>
    </row>
    <row r="45" spans="1:29" ht="18.75" x14ac:dyDescent="0.3">
      <c r="E45" s="388"/>
    </row>
    <row r="46" spans="1:29" x14ac:dyDescent="0.2">
      <c r="E46" s="389"/>
    </row>
    <row r="47" spans="1:29" ht="18.75" x14ac:dyDescent="0.3">
      <c r="E47" s="388"/>
    </row>
    <row r="48" spans="1:29" x14ac:dyDescent="0.2">
      <c r="E48" s="389"/>
    </row>
    <row r="49" spans="5:5" ht="18.75" x14ac:dyDescent="0.3">
      <c r="E49" s="388"/>
    </row>
    <row r="50" spans="5:5" x14ac:dyDescent="0.2">
      <c r="E50" s="389"/>
    </row>
    <row r="51" spans="5:5" ht="18.75" x14ac:dyDescent="0.3">
      <c r="E51" s="388"/>
    </row>
    <row r="52" spans="5:5" x14ac:dyDescent="0.2">
      <c r="E52" s="389"/>
    </row>
    <row r="53" spans="5:5" ht="18.75" x14ac:dyDescent="0.3">
      <c r="E53" s="38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9"/>
  <sheetViews>
    <sheetView workbookViewId="0">
      <selection activeCell="E24" sqref="E23:E24"/>
    </sheetView>
  </sheetViews>
  <sheetFormatPr defaultRowHeight="12.75" x14ac:dyDescent="0.2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 x14ac:dyDescent="0.25"/>
    <row r="2" spans="1:13" x14ac:dyDescent="0.2">
      <c r="A2" s="887" t="s">
        <v>317</v>
      </c>
      <c r="B2" s="888"/>
      <c r="C2" s="888"/>
      <c r="D2" s="888"/>
      <c r="E2" s="889"/>
      <c r="F2" s="119"/>
      <c r="G2" s="119"/>
      <c r="H2" s="119"/>
      <c r="I2" s="119"/>
      <c r="J2" s="119"/>
      <c r="K2" s="119"/>
      <c r="L2" s="670"/>
    </row>
    <row r="3" spans="1:13" ht="50.25" customHeight="1" thickBot="1" x14ac:dyDescent="0.25">
      <c r="A3" s="671"/>
      <c r="B3" s="672"/>
      <c r="C3" s="76"/>
      <c r="D3" s="76"/>
      <c r="E3" s="76"/>
      <c r="F3" s="76"/>
      <c r="G3" s="76"/>
      <c r="H3" s="76"/>
      <c r="I3" s="76"/>
      <c r="J3" s="76"/>
      <c r="K3" s="76"/>
      <c r="L3" s="673"/>
    </row>
    <row r="4" spans="1:13" s="51" customFormat="1" ht="50.25" customHeight="1" thickBot="1" x14ac:dyDescent="0.25">
      <c r="A4" s="674" t="s">
        <v>0</v>
      </c>
      <c r="B4" s="675" t="s">
        <v>66</v>
      </c>
      <c r="C4" s="676" t="s">
        <v>50</v>
      </c>
      <c r="D4" s="677" t="s">
        <v>64</v>
      </c>
      <c r="E4" s="677" t="s">
        <v>65</v>
      </c>
      <c r="F4" s="678" t="s">
        <v>42</v>
      </c>
      <c r="G4" s="677" t="s">
        <v>203</v>
      </c>
      <c r="H4" s="677" t="s">
        <v>206</v>
      </c>
      <c r="I4" s="677" t="s">
        <v>204</v>
      </c>
      <c r="J4" s="677" t="s">
        <v>205</v>
      </c>
      <c r="K4" s="678" t="s">
        <v>51</v>
      </c>
      <c r="L4" s="679" t="s">
        <v>76</v>
      </c>
    </row>
    <row r="5" spans="1:13" x14ac:dyDescent="0.2">
      <c r="A5" s="667">
        <f>Gen!B11</f>
        <v>44136</v>
      </c>
      <c r="B5" s="650">
        <f>'Daily report Gen'!Z6</f>
        <v>26</v>
      </c>
      <c r="C5" s="651">
        <f>Gen!C11</f>
        <v>2.5999999999999999E-2</v>
      </c>
      <c r="D5" s="652">
        <f t="shared" ref="D5:D36" si="0">E5</f>
        <v>3</v>
      </c>
      <c r="E5" s="653">
        <v>3</v>
      </c>
      <c r="F5" s="71">
        <f>Gen!V11</f>
        <v>0.39587991718426502</v>
      </c>
      <c r="G5" s="654">
        <f>Gen!U9</f>
        <v>0</v>
      </c>
      <c r="H5" s="654">
        <f>Gen!AL11</f>
        <v>0</v>
      </c>
      <c r="I5" s="654">
        <f t="shared" ref="I5:I36" si="1">SUM(G5:H5)</f>
        <v>0</v>
      </c>
      <c r="J5" s="655">
        <f>Gen!D11</f>
        <v>32519.1</v>
      </c>
      <c r="K5" s="656">
        <f>'Water-Meter'!E6</f>
        <v>54</v>
      </c>
      <c r="L5" s="657">
        <f>'Lpg (2)'!G10</f>
        <v>0</v>
      </c>
      <c r="M5" s="80" t="e">
        <f>SUM(#REF!-#REF!)</f>
        <v>#REF!</v>
      </c>
    </row>
    <row r="6" spans="1:13" x14ac:dyDescent="0.2">
      <c r="A6" s="668">
        <f>Gen!B12</f>
        <v>44137</v>
      </c>
      <c r="B6" s="658">
        <f>'Daily report Gen'!Z7</f>
        <v>23</v>
      </c>
      <c r="C6" s="88">
        <f>Gen!C12</f>
        <v>5.1900000000000002E-2</v>
      </c>
      <c r="D6" s="433">
        <f t="shared" si="0"/>
        <v>5</v>
      </c>
      <c r="E6" s="75">
        <v>5</v>
      </c>
      <c r="F6" s="71">
        <f>Gen!V12</f>
        <v>0.42335498662590754</v>
      </c>
      <c r="G6" s="86">
        <f>Gen!U10</f>
        <v>0</v>
      </c>
      <c r="H6" s="86">
        <f>Gen!AL12</f>
        <v>0</v>
      </c>
      <c r="I6" s="86">
        <f t="shared" si="1"/>
        <v>0</v>
      </c>
      <c r="J6" s="446">
        <f>Gen!D12</f>
        <v>31563.05</v>
      </c>
      <c r="K6" s="296">
        <f>'Water-Meter'!E7</f>
        <v>48</v>
      </c>
      <c r="L6" s="659">
        <f>'Lpg (2)'!G11</f>
        <v>57.420000000012813</v>
      </c>
      <c r="M6" s="80" t="e">
        <f>SUM(#REF!-#REF!)</f>
        <v>#REF!</v>
      </c>
    </row>
    <row r="7" spans="1:13" x14ac:dyDescent="0.2">
      <c r="A7" s="668">
        <f>Gen!B13</f>
        <v>44138</v>
      </c>
      <c r="B7" s="658">
        <f>'Daily report Gen'!Z8</f>
        <v>24</v>
      </c>
      <c r="C7" s="88">
        <f>Gen!C13</f>
        <v>7.7899999999999997E-2</v>
      </c>
      <c r="D7" s="433">
        <f t="shared" si="0"/>
        <v>7</v>
      </c>
      <c r="E7" s="75">
        <v>7</v>
      </c>
      <c r="F7" s="71">
        <f>Gen!V13</f>
        <v>0.44945601851851841</v>
      </c>
      <c r="G7" s="86">
        <f>Gen!U11</f>
        <v>2415</v>
      </c>
      <c r="H7" s="86">
        <f>Gen!AL13</f>
        <v>0</v>
      </c>
      <c r="I7" s="86">
        <f t="shared" si="1"/>
        <v>2415</v>
      </c>
      <c r="J7" s="446">
        <f>Gen!D13</f>
        <v>30433.51</v>
      </c>
      <c r="K7" s="296">
        <f>'Water-Meter'!E8</f>
        <v>81</v>
      </c>
      <c r="L7" s="659">
        <f>'Lpg (2)'!G12</f>
        <v>50.159999999974396</v>
      </c>
      <c r="M7" s="80" t="e">
        <f>SUM(#REF!-#REF!)</f>
        <v>#REF!</v>
      </c>
    </row>
    <row r="8" spans="1:13" x14ac:dyDescent="0.2">
      <c r="A8" s="668">
        <f>Gen!B14</f>
        <v>44139</v>
      </c>
      <c r="B8" s="658">
        <f>'Daily report Gen'!Z9</f>
        <v>24</v>
      </c>
      <c r="C8" s="88">
        <f>Gen!C14</f>
        <v>6.4899999999999999E-2</v>
      </c>
      <c r="D8" s="433">
        <f>E8</f>
        <v>6</v>
      </c>
      <c r="E8" s="75">
        <v>6</v>
      </c>
      <c r="F8" s="71">
        <f>Gen!V14</f>
        <v>0.39410546139359698</v>
      </c>
      <c r="G8" s="86">
        <f>Gen!U12</f>
        <v>2617</v>
      </c>
      <c r="H8" s="86">
        <f>Gen!AL14</f>
        <v>0</v>
      </c>
      <c r="I8" s="86">
        <f t="shared" si="1"/>
        <v>2617</v>
      </c>
      <c r="J8" s="446">
        <f>Gen!D14</f>
        <v>47230.25</v>
      </c>
      <c r="K8" s="296">
        <f>'Water-Meter'!E9</f>
        <v>50</v>
      </c>
      <c r="L8" s="659">
        <f>'Lpg (2)'!G13</f>
        <v>57.815999999997445</v>
      </c>
      <c r="M8" s="80" t="e">
        <f>SUM(#REF!-#REF!)</f>
        <v>#REF!</v>
      </c>
    </row>
    <row r="9" spans="1:13" x14ac:dyDescent="0.2">
      <c r="A9" s="668">
        <f>Gen!B15</f>
        <v>44140</v>
      </c>
      <c r="B9" s="658">
        <f>'Daily report Gen'!Z10</f>
        <v>26</v>
      </c>
      <c r="C9" s="88">
        <f>Gen!C15</f>
        <v>2.5999999999999999E-2</v>
      </c>
      <c r="D9" s="433">
        <f t="shared" si="0"/>
        <v>3</v>
      </c>
      <c r="E9" s="75">
        <v>3</v>
      </c>
      <c r="F9" s="71">
        <f>Gen!V15</f>
        <v>0.4077842003853564</v>
      </c>
      <c r="G9" s="86">
        <f>Gen!U13</f>
        <v>2592</v>
      </c>
      <c r="H9" s="86">
        <f>Gen!AL15</f>
        <v>0</v>
      </c>
      <c r="I9" s="86">
        <f t="shared" si="1"/>
        <v>2592</v>
      </c>
      <c r="J9" s="446">
        <f>Gen!D15</f>
        <v>46132.800000000003</v>
      </c>
      <c r="K9" s="296">
        <f>'Water-Meter'!E10</f>
        <v>58</v>
      </c>
      <c r="L9" s="659">
        <f>'Lpg (2)'!G14</f>
        <v>59.972000000020493</v>
      </c>
      <c r="M9" s="80" t="e">
        <f>SUM(#REF!-#REF!)</f>
        <v>#REF!</v>
      </c>
    </row>
    <row r="10" spans="1:13" x14ac:dyDescent="0.2">
      <c r="A10" s="668">
        <f>Gen!B16</f>
        <v>44141</v>
      </c>
      <c r="B10" s="658">
        <f>'Daily report Gen'!Z11</f>
        <v>25</v>
      </c>
      <c r="C10" s="88">
        <f>Gen!C16</f>
        <v>6.4899999999999999E-2</v>
      </c>
      <c r="D10" s="433">
        <f t="shared" si="0"/>
        <v>6</v>
      </c>
      <c r="E10" s="75">
        <v>6</v>
      </c>
      <c r="F10" s="71">
        <f>Gen!V16</f>
        <v>0.44646820027063594</v>
      </c>
      <c r="G10" s="86">
        <f>Gen!U14</f>
        <v>2655</v>
      </c>
      <c r="H10" s="86">
        <f>Gen!AL16</f>
        <v>0</v>
      </c>
      <c r="I10" s="86">
        <f t="shared" si="1"/>
        <v>2655</v>
      </c>
      <c r="J10" s="446">
        <f>Gen!D16</f>
        <v>45014.450000000004</v>
      </c>
      <c r="K10" s="296">
        <f>'Water-Meter'!E11</f>
        <v>62</v>
      </c>
      <c r="L10" s="659">
        <f>'Lpg (2)'!G15</f>
        <v>52.97600000003586</v>
      </c>
      <c r="M10" s="80" t="e">
        <f>SUM(#REF!-#REF!)</f>
        <v>#REF!</v>
      </c>
    </row>
    <row r="11" spans="1:13" x14ac:dyDescent="0.2">
      <c r="A11" s="668">
        <f>Gen!B17</f>
        <v>44142</v>
      </c>
      <c r="B11" s="658">
        <f>'Daily report Gen'!Z12</f>
        <v>25</v>
      </c>
      <c r="C11" s="88">
        <f>Gen!C17</f>
        <v>5.1900000000000002E-2</v>
      </c>
      <c r="D11" s="433">
        <f t="shared" si="0"/>
        <v>5</v>
      </c>
      <c r="E11" s="75">
        <v>5</v>
      </c>
      <c r="F11" s="71">
        <f>Gen!V17</f>
        <v>0.38424768051633723</v>
      </c>
      <c r="G11" s="86">
        <f>Gen!U15</f>
        <v>2595</v>
      </c>
      <c r="H11" s="86">
        <f>Gen!AL17</f>
        <v>0</v>
      </c>
      <c r="I11" s="86">
        <f t="shared" si="1"/>
        <v>2595</v>
      </c>
      <c r="J11" s="446">
        <f>Gen!D17</f>
        <v>43932.630000000005</v>
      </c>
      <c r="K11" s="296">
        <f>'Water-Meter'!E12</f>
        <v>83</v>
      </c>
      <c r="L11" s="659">
        <f>'Lpg (2)'!G16</f>
        <v>75.679999999987203</v>
      </c>
      <c r="M11" s="80" t="e">
        <f>SUM(#REF!-#REF!)</f>
        <v>#REF!</v>
      </c>
    </row>
    <row r="12" spans="1:13" x14ac:dyDescent="0.2">
      <c r="A12" s="668">
        <f>Gen!B18</f>
        <v>44143</v>
      </c>
      <c r="B12" s="658">
        <f>'Daily report Gen'!Z13</f>
        <v>25</v>
      </c>
      <c r="C12" s="88">
        <f>Gen!C18</f>
        <v>0</v>
      </c>
      <c r="D12" s="433">
        <f t="shared" si="0"/>
        <v>1</v>
      </c>
      <c r="E12" s="75">
        <v>1</v>
      </c>
      <c r="F12" s="71">
        <f>Gen!V18</f>
        <v>0.4376591200341734</v>
      </c>
      <c r="G12" s="86">
        <f>Gen!U16</f>
        <v>2217</v>
      </c>
      <c r="H12" s="86">
        <f>Gen!AL18</f>
        <v>0</v>
      </c>
      <c r="I12" s="86">
        <f t="shared" si="1"/>
        <v>2217</v>
      </c>
      <c r="J12" s="446">
        <f>Gen!D18</f>
        <v>42971.680000000008</v>
      </c>
      <c r="K12" s="296">
        <f>'Water-Meter'!E13</f>
        <v>63</v>
      </c>
      <c r="L12" s="659">
        <f>'Lpg (2)'!G17</f>
        <v>51.7</v>
      </c>
      <c r="M12" s="80" t="e">
        <f>SUM(#REF!-#REF!)</f>
        <v>#REF!</v>
      </c>
    </row>
    <row r="13" spans="1:13" x14ac:dyDescent="0.2">
      <c r="A13" s="668">
        <f>Gen!B19</f>
        <v>44144</v>
      </c>
      <c r="B13" s="658">
        <f>'Daily report Gen'!Z14</f>
        <v>25</v>
      </c>
      <c r="C13" s="88">
        <f>Gen!C19</f>
        <v>1.2999999999999999E-2</v>
      </c>
      <c r="D13" s="433">
        <f t="shared" si="0"/>
        <v>2</v>
      </c>
      <c r="E13" s="75">
        <v>2</v>
      </c>
      <c r="F13" s="71">
        <f>Gen!V19</f>
        <v>0.44400423728813554</v>
      </c>
      <c r="G13" s="86">
        <f>Gen!U17</f>
        <v>2479</v>
      </c>
      <c r="H13" s="86">
        <f>Gen!AL19</f>
        <v>0</v>
      </c>
      <c r="I13" s="86">
        <f t="shared" si="1"/>
        <v>2479</v>
      </c>
      <c r="J13" s="446">
        <f>Gen!D19</f>
        <v>41947.12000000001</v>
      </c>
      <c r="K13" s="296">
        <f>'Water-Meter'!E14</f>
        <v>46</v>
      </c>
      <c r="L13" s="659">
        <f>'Lpg (2)'!G18</f>
        <v>53.591999999969268</v>
      </c>
      <c r="M13" s="80" t="e">
        <f>SUM(#REF!-#REF!)</f>
        <v>#REF!</v>
      </c>
    </row>
    <row r="14" spans="1:13" x14ac:dyDescent="0.2">
      <c r="A14" s="668">
        <f>Gen!B20</f>
        <v>44145</v>
      </c>
      <c r="B14" s="658">
        <f>'Daily report Gen'!Z15</f>
        <v>12</v>
      </c>
      <c r="C14" s="88">
        <f>Gen!C20</f>
        <v>3.9E-2</v>
      </c>
      <c r="D14" s="433">
        <f t="shared" si="0"/>
        <v>4</v>
      </c>
      <c r="E14" s="75">
        <v>4</v>
      </c>
      <c r="F14" s="71">
        <f>Gen!V20</f>
        <v>0.40174343521308653</v>
      </c>
      <c r="G14" s="86">
        <f>Gen!U18</f>
        <v>2341</v>
      </c>
      <c r="H14" s="86">
        <f>Gen!AL20</f>
        <v>0</v>
      </c>
      <c r="I14" s="86">
        <f t="shared" si="1"/>
        <v>2341</v>
      </c>
      <c r="J14" s="446">
        <f>Gen!D20</f>
        <v>40854.970000000008</v>
      </c>
      <c r="K14" s="296">
        <f>'Water-Meter'!E15</f>
        <v>53</v>
      </c>
      <c r="L14" s="659">
        <f>'Lpg (2)'!G19</f>
        <v>23.540000000025614</v>
      </c>
      <c r="M14" s="80" t="e">
        <f>SUM(#REF!-#REF!)</f>
        <v>#REF!</v>
      </c>
    </row>
    <row r="15" spans="1:13" x14ac:dyDescent="0.2">
      <c r="A15" s="668">
        <f>Gen!B21</f>
        <v>44146</v>
      </c>
      <c r="B15" s="658">
        <f>'Daily report Gen'!Z16</f>
        <v>35</v>
      </c>
      <c r="C15" s="88">
        <f>Gen!C21</f>
        <v>6.4899999999999999E-2</v>
      </c>
      <c r="D15" s="433">
        <f t="shared" si="0"/>
        <v>6</v>
      </c>
      <c r="E15" s="75">
        <v>6</v>
      </c>
      <c r="F15" s="71">
        <f>Gen!V21</f>
        <v>0.41271572492334646</v>
      </c>
      <c r="G15" s="86">
        <f>Gen!U19</f>
        <v>2360</v>
      </c>
      <c r="H15" s="86">
        <f>Gen!AL21</f>
        <v>0</v>
      </c>
      <c r="I15" s="86">
        <f t="shared" si="1"/>
        <v>2360</v>
      </c>
      <c r="J15" s="446">
        <f>Gen!D21</f>
        <v>39872.98000000001</v>
      </c>
      <c r="K15" s="296">
        <f>'Water-Meter'!E16</f>
        <v>63</v>
      </c>
      <c r="L15" s="659">
        <f>'Lpg (2)'!G20</f>
        <v>75.327999999979511</v>
      </c>
      <c r="M15" s="80" t="e">
        <f>SUM(#REF!-#REF!)</f>
        <v>#REF!</v>
      </c>
    </row>
    <row r="16" spans="1:13" x14ac:dyDescent="0.2">
      <c r="A16" s="668">
        <f>Gen!B22</f>
        <v>44147</v>
      </c>
      <c r="B16" s="658">
        <f>'Daily report Gen'!Z17</f>
        <v>25</v>
      </c>
      <c r="C16" s="88">
        <f>Gen!C22</f>
        <v>0.05</v>
      </c>
      <c r="D16" s="433">
        <f t="shared" si="0"/>
        <v>5</v>
      </c>
      <c r="E16" s="75">
        <v>5</v>
      </c>
      <c r="F16" s="71">
        <f>Gen!V22</f>
        <v>0.46518900343642611</v>
      </c>
      <c r="G16" s="86">
        <f>Gen!U20</f>
        <v>2323</v>
      </c>
      <c r="H16" s="86">
        <f>Gen!AL22</f>
        <v>0</v>
      </c>
      <c r="I16" s="86">
        <f t="shared" si="1"/>
        <v>2323</v>
      </c>
      <c r="J16" s="446">
        <f>Gen!D22</f>
        <v>38906.700000000012</v>
      </c>
      <c r="K16" s="296">
        <f>'Water-Meter'!E17</f>
        <v>48</v>
      </c>
      <c r="L16" s="659">
        <f>'Lpg (2)'!G21</f>
        <v>54.163999999989763</v>
      </c>
      <c r="M16" s="80" t="e">
        <f>SUM(#REF!-#REF!)</f>
        <v>#REF!</v>
      </c>
    </row>
    <row r="17" spans="1:13" x14ac:dyDescent="0.2">
      <c r="A17" s="668">
        <f>Gen!B23</f>
        <v>44148</v>
      </c>
      <c r="B17" s="658">
        <f>'Daily report Gen'!Z18</f>
        <v>26</v>
      </c>
      <c r="C17" s="88">
        <f>Gen!C23</f>
        <v>5.1900000000000002E-2</v>
      </c>
      <c r="D17" s="433">
        <f t="shared" si="0"/>
        <v>7</v>
      </c>
      <c r="E17" s="75">
        <v>7</v>
      </c>
      <c r="F17" s="71">
        <f>Gen!V23</f>
        <v>0.40613463166807789</v>
      </c>
      <c r="G17" s="86">
        <f>Gen!U21</f>
        <v>2283</v>
      </c>
      <c r="H17" s="86">
        <f>Gen!AL23</f>
        <v>0</v>
      </c>
      <c r="I17" s="86">
        <f t="shared" si="1"/>
        <v>2283</v>
      </c>
      <c r="J17" s="446">
        <f>Gen!D23</f>
        <v>37780.340000000011</v>
      </c>
      <c r="K17" s="296">
        <f>'Water-Meter'!E18</f>
        <v>62</v>
      </c>
      <c r="L17" s="659">
        <f>'Lpg (2)'!G22</f>
        <v>68.508000000030734</v>
      </c>
      <c r="M17" s="80" t="e">
        <f>SUM(#REF!-#REF!)</f>
        <v>#REF!</v>
      </c>
    </row>
    <row r="18" spans="1:13" x14ac:dyDescent="0.2">
      <c r="A18" s="668">
        <f>Gen!B24</f>
        <v>44149</v>
      </c>
      <c r="B18" s="658">
        <f>'Daily report Gen'!Z19</f>
        <v>22</v>
      </c>
      <c r="C18" s="88">
        <f>Gen!C24</f>
        <v>0.18179999999999999</v>
      </c>
      <c r="D18" s="433">
        <f t="shared" si="0"/>
        <v>15</v>
      </c>
      <c r="E18" s="75">
        <v>15</v>
      </c>
      <c r="F18" s="71">
        <f>Gen!V24</f>
        <v>0.40457563025210086</v>
      </c>
      <c r="G18" s="86">
        <f>Gen!U22</f>
        <v>2328</v>
      </c>
      <c r="H18" s="86">
        <f>Gen!AL24</f>
        <v>0</v>
      </c>
      <c r="I18" s="86">
        <f t="shared" si="1"/>
        <v>2328</v>
      </c>
      <c r="J18" s="446">
        <f>Gen!D24</f>
        <v>36687.05000000001</v>
      </c>
      <c r="K18" s="296">
        <f>'Water-Meter'!E19</f>
        <v>52</v>
      </c>
      <c r="L18" s="659">
        <f>'Lpg (2)'!G23</f>
        <v>69.343999999976958</v>
      </c>
      <c r="M18" s="80" t="e">
        <f>SUM(#REF!-#REF!)</f>
        <v>#REF!</v>
      </c>
    </row>
    <row r="19" spans="1:13" x14ac:dyDescent="0.2">
      <c r="A19" s="668">
        <f>Gen!B25</f>
        <v>44150</v>
      </c>
      <c r="B19" s="658">
        <f>'Daily report Gen'!Z20</f>
        <v>26</v>
      </c>
      <c r="C19" s="88">
        <f>Gen!C25</f>
        <v>0.1429</v>
      </c>
      <c r="D19" s="433">
        <f t="shared" si="0"/>
        <v>13</v>
      </c>
      <c r="E19" s="75">
        <v>13</v>
      </c>
      <c r="F19" s="71">
        <f>Gen!V25</f>
        <v>0.4514634146341463</v>
      </c>
      <c r="G19" s="86">
        <f>Gen!U23</f>
        <v>2362</v>
      </c>
      <c r="H19" s="86">
        <f>Gen!AL25</f>
        <v>0</v>
      </c>
      <c r="I19" s="86">
        <f t="shared" si="1"/>
        <v>2362</v>
      </c>
      <c r="J19" s="446">
        <f>Gen!D25</f>
        <v>35724.160000000011</v>
      </c>
      <c r="K19" s="296">
        <f>'Water-Meter'!E20</f>
        <v>78</v>
      </c>
      <c r="L19" s="659">
        <f>'Lpg (2)'!G24</f>
        <v>95.392000000033306</v>
      </c>
      <c r="M19" s="80" t="e">
        <f>SUM(#REF!-#REF!)</f>
        <v>#REF!</v>
      </c>
    </row>
    <row r="20" spans="1:13" x14ac:dyDescent="0.2">
      <c r="A20" s="668">
        <f>Gen!B26</f>
        <v>44151</v>
      </c>
      <c r="B20" s="658">
        <f>'Daily report Gen'!Z21</f>
        <v>25</v>
      </c>
      <c r="C20" s="88">
        <f>Gen!C26</f>
        <v>0.12989999999999999</v>
      </c>
      <c r="D20" s="433">
        <f t="shared" si="0"/>
        <v>12</v>
      </c>
      <c r="E20" s="75">
        <v>12</v>
      </c>
      <c r="F20" s="71">
        <f>Gen!V26</f>
        <v>0.45771880064829823</v>
      </c>
      <c r="G20" s="86">
        <f>Gen!U24</f>
        <v>2380</v>
      </c>
      <c r="H20" s="86">
        <f>Gen!AL26</f>
        <v>0</v>
      </c>
      <c r="I20" s="86">
        <f t="shared" si="1"/>
        <v>2380</v>
      </c>
      <c r="J20" s="446">
        <f>Gen!D26</f>
        <v>34509.830000000009</v>
      </c>
      <c r="K20" s="296">
        <f>'Water-Meter'!E21</f>
        <v>52</v>
      </c>
      <c r="L20" s="659">
        <f>'Lpg (2)'!G25</f>
        <v>82.763999999989764</v>
      </c>
      <c r="M20" s="80" t="e">
        <f>SUM(#REF!-#REF!)</f>
        <v>#REF!</v>
      </c>
    </row>
    <row r="21" spans="1:13" x14ac:dyDescent="0.2">
      <c r="A21" s="668">
        <f>Gen!B27</f>
        <v>44152</v>
      </c>
      <c r="B21" s="658">
        <f>'Daily report Gen'!Z22</f>
        <v>24</v>
      </c>
      <c r="C21" s="88">
        <f>Gen!C27</f>
        <v>0.03</v>
      </c>
      <c r="D21" s="433">
        <f t="shared" si="0"/>
        <v>0</v>
      </c>
      <c r="E21" s="75"/>
      <c r="F21" s="71">
        <f>Gen!V27</f>
        <v>0.40996469549867609</v>
      </c>
      <c r="G21" s="86">
        <f>Gen!U25</f>
        <v>2337</v>
      </c>
      <c r="H21" s="86">
        <f>Gen!AL27</f>
        <v>0</v>
      </c>
      <c r="I21" s="86">
        <f t="shared" si="1"/>
        <v>2337</v>
      </c>
      <c r="J21" s="446">
        <f>Gen!D27</f>
        <v>33312.670000000006</v>
      </c>
      <c r="K21" s="296">
        <f>'Water-Meter'!E22</f>
        <v>53</v>
      </c>
      <c r="L21" s="659">
        <f>'Lpg (2)'!G26</f>
        <v>77.572000000020495</v>
      </c>
      <c r="M21" s="80" t="e">
        <f>SUM(#REF!-#REF!)</f>
        <v>#REF!</v>
      </c>
    </row>
    <row r="22" spans="1:13" x14ac:dyDescent="0.2">
      <c r="A22" s="668">
        <f>Gen!B28</f>
        <v>44153</v>
      </c>
      <c r="B22" s="658">
        <f>'Daily report Gen'!Z23</f>
        <v>24</v>
      </c>
      <c r="C22" s="88">
        <f>Gen!C28</f>
        <v>0.104</v>
      </c>
      <c r="D22" s="433">
        <f t="shared" si="0"/>
        <v>0</v>
      </c>
      <c r="E22" s="75"/>
      <c r="F22" s="71">
        <f>Gen!V28</f>
        <v>0.41586321934945786</v>
      </c>
      <c r="G22" s="86">
        <f>Gen!U26</f>
        <v>2468</v>
      </c>
      <c r="H22" s="86">
        <f>Gen!AL28</f>
        <v>0</v>
      </c>
      <c r="I22" s="86">
        <f t="shared" si="1"/>
        <v>2468</v>
      </c>
      <c r="J22" s="446">
        <f>Gen!D28</f>
        <v>47383.69</v>
      </c>
      <c r="K22" s="296">
        <f>'Water-Meter'!E23</f>
        <v>51</v>
      </c>
      <c r="L22" s="659">
        <f>'Lpg (2)'!G27</f>
        <v>75.283999999938544</v>
      </c>
      <c r="M22" s="80" t="e">
        <f>SUM(#REF!-#REF!)</f>
        <v>#REF!</v>
      </c>
    </row>
    <row r="23" spans="1:13" x14ac:dyDescent="0.2">
      <c r="A23" s="668">
        <f>Gen!B29</f>
        <v>44154</v>
      </c>
      <c r="B23" s="658">
        <f>'Daily report Gen'!Z24</f>
        <v>24</v>
      </c>
      <c r="C23" s="88">
        <f>Gen!C29</f>
        <v>5.1999999999999998E-2</v>
      </c>
      <c r="D23" s="433">
        <f t="shared" si="0"/>
        <v>0</v>
      </c>
      <c r="E23" s="75"/>
      <c r="F23" s="71">
        <f>Gen!V29</f>
        <v>0.40265558562040976</v>
      </c>
      <c r="G23" s="86">
        <f>Gen!U27</f>
        <v>2266</v>
      </c>
      <c r="H23" s="86">
        <f>Gen!AL29</f>
        <v>0</v>
      </c>
      <c r="I23" s="86">
        <f t="shared" si="1"/>
        <v>2266</v>
      </c>
      <c r="J23" s="446">
        <f>Gen!D29</f>
        <v>46363.86</v>
      </c>
      <c r="K23" s="296">
        <f>'Water-Meter'!E24</f>
        <v>127</v>
      </c>
      <c r="L23" s="659">
        <f>'Lpg (2)'!G28</f>
        <v>73.524000000028181</v>
      </c>
      <c r="M23" s="80" t="e">
        <f>SUM(#REF!-#REF!)</f>
        <v>#REF!</v>
      </c>
    </row>
    <row r="24" spans="1:13" x14ac:dyDescent="0.2">
      <c r="A24" s="668">
        <f>Gen!B30</f>
        <v>44155</v>
      </c>
      <c r="B24" s="658">
        <f>'Daily report Gen'!Z25</f>
        <v>25</v>
      </c>
      <c r="C24" s="88">
        <f>Gen!C30</f>
        <v>5.1999999999999998E-2</v>
      </c>
      <c r="D24" s="433">
        <f t="shared" si="0"/>
        <v>0</v>
      </c>
      <c r="E24" s="75"/>
      <c r="F24" s="71">
        <f>Gen!V30</f>
        <v>0.38775462962962964</v>
      </c>
      <c r="G24" s="86">
        <f>Gen!U28</f>
        <v>2398</v>
      </c>
      <c r="H24" s="86">
        <f>Gen!AL30</f>
        <v>0</v>
      </c>
      <c r="I24" s="86">
        <f t="shared" si="1"/>
        <v>2398</v>
      </c>
      <c r="J24" s="446">
        <f>Gen!D30</f>
        <v>45244.14</v>
      </c>
      <c r="K24" s="296">
        <f>'Water-Meter'!E25</f>
        <v>46</v>
      </c>
      <c r="L24" s="659">
        <f>'Lpg (2)'!G29</f>
        <v>99.175999999971836</v>
      </c>
      <c r="M24" s="80" t="e">
        <f>SUM(#REF!-#REF!)</f>
        <v>#REF!</v>
      </c>
    </row>
    <row r="25" spans="1:13" x14ac:dyDescent="0.2">
      <c r="A25" s="668">
        <f>Gen!B31</f>
        <v>44156</v>
      </c>
      <c r="B25" s="658">
        <f>'Daily report Gen'!Z26</f>
        <v>26</v>
      </c>
      <c r="C25" s="88">
        <f>Gen!C31</f>
        <v>6.5000000000000002E-2</v>
      </c>
      <c r="D25" s="433">
        <f t="shared" si="0"/>
        <v>0</v>
      </c>
      <c r="E25" s="75"/>
      <c r="F25" s="71">
        <f>Gen!V31</f>
        <v>0.41355780022446692</v>
      </c>
      <c r="G25" s="86">
        <f>Gen!U29</f>
        <v>2587</v>
      </c>
      <c r="H25" s="86">
        <f>Gen!AL31</f>
        <v>0</v>
      </c>
      <c r="I25" s="86">
        <f t="shared" si="1"/>
        <v>2587</v>
      </c>
      <c r="J25" s="446">
        <f>Gen!D31</f>
        <v>44239.08</v>
      </c>
      <c r="K25" s="296">
        <f>'Water-Meter'!E26</f>
        <v>47</v>
      </c>
      <c r="L25" s="659">
        <f>'Lpg (2)'!G30</f>
        <v>85.360000000038426</v>
      </c>
      <c r="M25" s="80" t="e">
        <f>SUM(#REF!-#REF!)</f>
        <v>#REF!</v>
      </c>
    </row>
    <row r="26" spans="1:13" x14ac:dyDescent="0.2">
      <c r="A26" s="668">
        <f>Gen!B32</f>
        <v>44157</v>
      </c>
      <c r="B26" s="658">
        <f>'Daily report Gen'!Z27</f>
        <v>24</v>
      </c>
      <c r="C26" s="88">
        <f>Gen!C32</f>
        <v>0.1</v>
      </c>
      <c r="D26" s="433">
        <f t="shared" si="0"/>
        <v>0</v>
      </c>
      <c r="E26" s="75"/>
      <c r="F26" s="71">
        <f>Gen!V32</f>
        <v>0.40388394584139264</v>
      </c>
      <c r="G26" s="86">
        <f>Gen!U30</f>
        <v>2592</v>
      </c>
      <c r="H26" s="86">
        <f>Gen!AL32</f>
        <v>0</v>
      </c>
      <c r="I26" s="86">
        <f t="shared" si="1"/>
        <v>2592</v>
      </c>
      <c r="J26" s="446">
        <f>Gen!D32</f>
        <v>42936.25</v>
      </c>
      <c r="K26" s="296">
        <f>'Water-Meter'!E27</f>
        <v>51</v>
      </c>
      <c r="L26" s="659">
        <f>'Lpg (2)'!G31</f>
        <v>86.547999999992328</v>
      </c>
      <c r="M26" s="80" t="e">
        <f>SUM(#REF!-#REF!)</f>
        <v>#REF!</v>
      </c>
    </row>
    <row r="27" spans="1:13" x14ac:dyDescent="0.2">
      <c r="A27" s="668">
        <f>Gen!B33</f>
        <v>44158</v>
      </c>
      <c r="B27" s="658">
        <f>'Daily report Gen'!Z28</f>
        <v>24</v>
      </c>
      <c r="C27" s="88">
        <f>Gen!C33</f>
        <v>6.5000000000000002E-2</v>
      </c>
      <c r="D27" s="433">
        <f t="shared" si="0"/>
        <v>0</v>
      </c>
      <c r="E27" s="75"/>
      <c r="F27" s="71">
        <f>Gen!V33</f>
        <v>0.41547738693467334</v>
      </c>
      <c r="G27" s="86">
        <f>Gen!U31</f>
        <v>2673</v>
      </c>
      <c r="H27" s="86">
        <f>Gen!AL33</f>
        <v>0</v>
      </c>
      <c r="I27" s="86">
        <f t="shared" si="1"/>
        <v>2673</v>
      </c>
      <c r="J27" s="446">
        <f>Gen!D33</f>
        <v>41883.06</v>
      </c>
      <c r="K27" s="296">
        <f>'Water-Meter'!E28</f>
        <v>61</v>
      </c>
      <c r="L27" s="659">
        <f>'Lpg (2)'!G32</f>
        <v>65.73600000001025</v>
      </c>
      <c r="M27" s="80" t="e">
        <f>SUM(#REF!-#REF!)</f>
        <v>#REF!</v>
      </c>
    </row>
    <row r="28" spans="1:13" x14ac:dyDescent="0.2">
      <c r="A28" s="668">
        <f>Gen!B34</f>
        <v>44159</v>
      </c>
      <c r="B28" s="658">
        <f>'Daily report Gen'!Z29</f>
        <v>24</v>
      </c>
      <c r="C28" s="88">
        <f>Gen!C34</f>
        <v>6.5000000000000002E-2</v>
      </c>
      <c r="D28" s="433">
        <f t="shared" si="0"/>
        <v>0</v>
      </c>
      <c r="E28" s="75"/>
      <c r="F28" s="71">
        <f>Gen!V34</f>
        <v>0.42898569023569022</v>
      </c>
      <c r="G28" s="86">
        <f>Gen!U32</f>
        <v>2585</v>
      </c>
      <c r="H28" s="86">
        <f>Gen!AL34</f>
        <v>0</v>
      </c>
      <c r="I28" s="86">
        <f t="shared" si="1"/>
        <v>2585</v>
      </c>
      <c r="J28" s="446">
        <f>Gen!D34</f>
        <v>40808.22</v>
      </c>
      <c r="K28" s="296">
        <f>'Water-Meter'!E29</f>
        <v>49</v>
      </c>
      <c r="L28" s="659">
        <f>'Lpg (2)'!G33</f>
        <v>64.107999999966708</v>
      </c>
      <c r="M28" s="80" t="e">
        <f>SUM(#REF!-#REF!)</f>
        <v>#REF!</v>
      </c>
    </row>
    <row r="29" spans="1:13" x14ac:dyDescent="0.2">
      <c r="A29" s="668">
        <f>Gen!B35</f>
        <v>44160</v>
      </c>
      <c r="B29" s="658">
        <f>'Daily report Gen'!Z30</f>
        <v>24</v>
      </c>
      <c r="C29" s="88">
        <f>Gen!C35</f>
        <v>3.9E-2</v>
      </c>
      <c r="D29" s="433">
        <f t="shared" si="0"/>
        <v>0</v>
      </c>
      <c r="E29" s="75"/>
      <c r="F29" s="71">
        <f>Gen!V35</f>
        <v>0.43357838795394155</v>
      </c>
      <c r="G29" s="86">
        <f>Gen!U33</f>
        <v>2587</v>
      </c>
      <c r="H29" s="86">
        <f>Gen!AL35</f>
        <v>0</v>
      </c>
      <c r="I29" s="86">
        <f t="shared" si="1"/>
        <v>2587</v>
      </c>
      <c r="J29" s="446">
        <f>Gen!D35</f>
        <v>39721.950000000004</v>
      </c>
      <c r="K29" s="296">
        <f>'Water-Meter'!E30</f>
        <v>50</v>
      </c>
      <c r="L29" s="659">
        <f>'Lpg (2)'!G34</f>
        <v>80.344000000040978</v>
      </c>
      <c r="M29" s="80" t="e">
        <f>SUM(#REF!-#REF!)</f>
        <v>#REF!</v>
      </c>
    </row>
    <row r="30" spans="1:13" x14ac:dyDescent="0.2">
      <c r="A30" s="668">
        <f>Gen!B36</f>
        <v>44161</v>
      </c>
      <c r="B30" s="658">
        <f>'Daily report Gen'!Z31</f>
        <v>24</v>
      </c>
      <c r="C30" s="88">
        <f>Gen!C36</f>
        <v>1.2999999999999999E-2</v>
      </c>
      <c r="D30" s="433">
        <f t="shared" si="0"/>
        <v>0</v>
      </c>
      <c r="E30" s="75"/>
      <c r="F30" s="71">
        <f>Gen!V36</f>
        <v>0.4116008869179601</v>
      </c>
      <c r="G30" s="86">
        <f>Gen!U34</f>
        <v>2376</v>
      </c>
      <c r="H30" s="86">
        <f>Gen!AL36</f>
        <v>0</v>
      </c>
      <c r="I30" s="86">
        <f t="shared" si="1"/>
        <v>2376</v>
      </c>
      <c r="J30" s="446">
        <f>Gen!D36</f>
        <v>38722.610000000008</v>
      </c>
      <c r="K30" s="296">
        <f>'Water-Meter'!E31</f>
        <v>56</v>
      </c>
      <c r="L30" s="659">
        <f>'Lpg (2)'!G35</f>
        <v>78.71599999999745</v>
      </c>
      <c r="M30" s="80" t="e">
        <f>SUM(#REF!-#REF!)</f>
        <v>#REF!</v>
      </c>
    </row>
    <row r="31" spans="1:13" x14ac:dyDescent="0.2">
      <c r="A31" s="668">
        <f>Gen!B37</f>
        <v>44162</v>
      </c>
      <c r="B31" s="658">
        <f>'Daily report Gen'!Z32</f>
        <v>25</v>
      </c>
      <c r="C31" s="88">
        <f>Gen!C37</f>
        <v>0.01</v>
      </c>
      <c r="D31" s="433">
        <f t="shared" si="0"/>
        <v>0</v>
      </c>
      <c r="E31" s="75"/>
      <c r="F31" s="71">
        <f>Gen!V37</f>
        <v>0.42654697286012527</v>
      </c>
      <c r="G31" s="86">
        <f>Gen!U35</f>
        <v>2258</v>
      </c>
      <c r="H31" s="86">
        <f>Gen!AL37</f>
        <v>0</v>
      </c>
      <c r="I31" s="86">
        <f t="shared" si="1"/>
        <v>2258</v>
      </c>
      <c r="J31" s="446">
        <f>Gen!D37</f>
        <v>37794.450000000004</v>
      </c>
      <c r="K31" s="296">
        <f>'Water-Meter'!E32</f>
        <v>47</v>
      </c>
      <c r="L31" s="659">
        <f>'Lpg (2)'!G36</f>
        <v>42.371999999956465</v>
      </c>
      <c r="M31" s="80" t="e">
        <f>SUM(#REF!-#REF!)</f>
        <v>#REF!</v>
      </c>
    </row>
    <row r="32" spans="1:13" x14ac:dyDescent="0.2">
      <c r="A32" s="668">
        <f>Gen!B38</f>
        <v>44163</v>
      </c>
      <c r="B32" s="658">
        <f>'Daily report Gen'!Z33</f>
        <v>25</v>
      </c>
      <c r="C32" s="88">
        <f>Gen!C38</f>
        <v>2.5999999999999999E-2</v>
      </c>
      <c r="D32" s="433">
        <f t="shared" si="0"/>
        <v>0</v>
      </c>
      <c r="E32" s="75"/>
      <c r="F32" s="71" t="e">
        <f>Gen!V38</f>
        <v>#DIV/0!</v>
      </c>
      <c r="G32" s="86">
        <f>Gen!U36</f>
        <v>2255</v>
      </c>
      <c r="H32" s="86">
        <f>Gen!AL38</f>
        <v>0</v>
      </c>
      <c r="I32" s="86">
        <f t="shared" si="1"/>
        <v>2255</v>
      </c>
      <c r="J32" s="446">
        <f>Gen!D38</f>
        <v>36735.490000000005</v>
      </c>
      <c r="K32" s="296">
        <f>'Water-Meter'!E33</f>
        <v>45</v>
      </c>
      <c r="L32" s="659">
        <f>'Lpg (2)'!G37</f>
        <v>67.71599999999745</v>
      </c>
      <c r="M32" s="80" t="e">
        <f>SUM(#REF!-#REF!)</f>
        <v>#REF!</v>
      </c>
    </row>
    <row r="33" spans="1:13" x14ac:dyDescent="0.2">
      <c r="A33" s="668">
        <f>Gen!B39</f>
        <v>44164</v>
      </c>
      <c r="B33" s="658">
        <f>'Daily report Gen'!Z34</f>
        <v>24</v>
      </c>
      <c r="C33" s="88">
        <f>Gen!C39</f>
        <v>2.5999999999999999E-2</v>
      </c>
      <c r="D33" s="433">
        <f t="shared" si="0"/>
        <v>0</v>
      </c>
      <c r="E33" s="75"/>
      <c r="F33" s="71">
        <f>Gen!V39</f>
        <v>0.42375000000000002</v>
      </c>
      <c r="G33" s="86">
        <f>Gen!U37</f>
        <v>2395</v>
      </c>
      <c r="H33" s="86">
        <f>Gen!AL39</f>
        <v>0</v>
      </c>
      <c r="I33" s="86">
        <f t="shared" si="1"/>
        <v>2395</v>
      </c>
      <c r="J33" s="446">
        <f>Gen!D39</f>
        <v>35765.870000000003</v>
      </c>
      <c r="K33" s="296">
        <f>'Water-Meter'!E34</f>
        <v>62</v>
      </c>
      <c r="L33" s="659">
        <f>'Lpg (2)'!G38</f>
        <v>28.996000000048664</v>
      </c>
      <c r="M33" s="80" t="e">
        <f>SUM(#REF!-#REF!)</f>
        <v>#REF!</v>
      </c>
    </row>
    <row r="34" spans="1:13" x14ac:dyDescent="0.2">
      <c r="A34" s="668">
        <f>Gen!B40</f>
        <v>44165</v>
      </c>
      <c r="B34" s="658">
        <f>'Daily report Gen'!Z35</f>
        <v>24</v>
      </c>
      <c r="C34" s="88">
        <f>Gen!C40</f>
        <v>3.9E-2</v>
      </c>
      <c r="D34" s="433">
        <f t="shared" si="0"/>
        <v>0</v>
      </c>
      <c r="E34" s="75"/>
      <c r="F34" s="71" t="e">
        <f>Gen!V40</f>
        <v>#DIV/0!</v>
      </c>
      <c r="G34" s="86">
        <f>Gen!U38</f>
        <v>0</v>
      </c>
      <c r="H34" s="86">
        <f>Gen!AL40</f>
        <v>0</v>
      </c>
      <c r="I34" s="86">
        <f t="shared" si="1"/>
        <v>0</v>
      </c>
      <c r="J34" s="446">
        <f>Gen!D40</f>
        <v>34767.9</v>
      </c>
      <c r="K34" s="296">
        <f>'Water-Meter'!E35</f>
        <v>46</v>
      </c>
      <c r="L34" s="659">
        <f>'Lpg (2)'!G39</f>
        <v>67.847999999992325</v>
      </c>
      <c r="M34" s="80" t="e">
        <f>SUM(#REF!-#REF!)</f>
        <v>#REF!</v>
      </c>
    </row>
    <row r="35" spans="1:13" x14ac:dyDescent="0.2">
      <c r="A35" s="668">
        <f>Gen!B41</f>
        <v>44166</v>
      </c>
      <c r="B35" s="658">
        <f>'Daily report Gen'!Z36</f>
        <v>-155892</v>
      </c>
      <c r="C35" s="88">
        <f>Gen!C41</f>
        <v>0</v>
      </c>
      <c r="D35" s="433">
        <f t="shared" si="0"/>
        <v>0</v>
      </c>
      <c r="E35" s="75"/>
      <c r="F35" s="71">
        <f>Gen!V39</f>
        <v>0.42375000000000002</v>
      </c>
      <c r="G35" s="86">
        <f>Gen!U39</f>
        <v>2264</v>
      </c>
      <c r="H35" s="86">
        <f>Gen!AL41</f>
        <v>0</v>
      </c>
      <c r="I35" s="86">
        <f t="shared" si="1"/>
        <v>2264</v>
      </c>
      <c r="J35" s="446">
        <f>Gen!D41</f>
        <v>33526.22</v>
      </c>
      <c r="K35" s="296" t="str">
        <f>'Water-Meter'!E36</f>
        <v>0</v>
      </c>
      <c r="L35" s="659">
        <f>'Lpg (2)'!G40</f>
        <v>-323055.43600000005</v>
      </c>
      <c r="M35" s="80" t="e">
        <f>SUM(#REF!-#REF!)</f>
        <v>#REF!</v>
      </c>
    </row>
    <row r="36" spans="1:13" ht="13.5" thickBot="1" x14ac:dyDescent="0.25">
      <c r="A36" s="669">
        <f>Gen!B42</f>
        <v>0</v>
      </c>
      <c r="B36" s="660">
        <f>'Daily report Gen'!Z37</f>
        <v>0</v>
      </c>
      <c r="C36" s="661">
        <f>Gen!C42</f>
        <v>0</v>
      </c>
      <c r="D36" s="662">
        <f t="shared" si="0"/>
        <v>0</v>
      </c>
      <c r="E36" s="663"/>
      <c r="F36" s="72" t="e">
        <f>Gen!V40</f>
        <v>#DIV/0!</v>
      </c>
      <c r="G36" s="87">
        <f>Gen!U40</f>
        <v>0</v>
      </c>
      <c r="H36" s="87">
        <f>Gen!AL42</f>
        <v>0</v>
      </c>
      <c r="I36" s="87">
        <f t="shared" si="1"/>
        <v>0</v>
      </c>
      <c r="J36" s="664">
        <f>Gen!D42</f>
        <v>33526.22</v>
      </c>
      <c r="K36" s="665">
        <f>'Water-Meter'!E37</f>
        <v>0</v>
      </c>
      <c r="L36" s="666">
        <f>'Lpg (2)'!G41</f>
        <v>0</v>
      </c>
    </row>
    <row r="38" spans="1:13" x14ac:dyDescent="0.2">
      <c r="B38" s="84"/>
    </row>
    <row r="39" spans="1:13" x14ac:dyDescent="0.2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"/>
  <sheetViews>
    <sheetView topLeftCell="A10" workbookViewId="0">
      <pane xSplit="1" topLeftCell="B1" activePane="topRight" state="frozen"/>
      <selection pane="topRight" activeCell="C36" sqref="C36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890">
        <f>A6</f>
        <v>44136</v>
      </c>
      <c r="B1" s="891"/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1"/>
      <c r="N1" s="891"/>
      <c r="O1" s="891"/>
      <c r="P1" s="891"/>
      <c r="Q1" s="891"/>
      <c r="R1" s="891"/>
      <c r="S1" s="891"/>
      <c r="T1" s="891"/>
      <c r="U1" s="891"/>
      <c r="V1" s="891"/>
      <c r="W1" s="891"/>
      <c r="X1" s="891"/>
      <c r="Y1" s="891"/>
      <c r="Z1" s="891"/>
      <c r="AA1" s="891"/>
      <c r="AB1" s="891"/>
      <c r="AC1" s="20"/>
    </row>
    <row r="2" spans="1:29" ht="12" customHeight="1" thickBot="1" x14ac:dyDescent="0.25">
      <c r="A2" s="891"/>
      <c r="B2" s="891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1"/>
      <c r="N2" s="891"/>
      <c r="O2" s="891"/>
      <c r="P2" s="891"/>
      <c r="Q2" s="891"/>
      <c r="R2" s="891"/>
      <c r="S2" s="891"/>
      <c r="T2" s="891"/>
      <c r="U2" s="891"/>
      <c r="V2" s="891"/>
      <c r="W2" s="891"/>
      <c r="X2" s="891"/>
      <c r="Y2" s="891"/>
      <c r="Z2" s="891"/>
      <c r="AA2" s="891"/>
      <c r="AB2" s="891"/>
      <c r="AC2" s="20"/>
    </row>
    <row r="3" spans="1:29" ht="27.75" customHeight="1" thickBot="1" x14ac:dyDescent="0.25">
      <c r="A3" s="20"/>
      <c r="B3" s="20"/>
      <c r="C3" s="20"/>
      <c r="D3" s="20"/>
      <c r="E3" s="20"/>
      <c r="F3" s="20"/>
      <c r="G3" s="20"/>
      <c r="H3" s="20"/>
      <c r="I3" s="40"/>
      <c r="J3" s="20"/>
      <c r="K3" s="892" t="s">
        <v>298</v>
      </c>
      <c r="L3" s="893"/>
      <c r="M3" s="894"/>
      <c r="N3" s="892" t="s">
        <v>299</v>
      </c>
      <c r="O3" s="893"/>
      <c r="P3" s="894"/>
      <c r="Q3" s="892" t="s">
        <v>300</v>
      </c>
      <c r="R3" s="893"/>
      <c r="S3" s="894"/>
      <c r="T3" s="892" t="s">
        <v>301</v>
      </c>
      <c r="U3" s="893"/>
      <c r="V3" s="894"/>
      <c r="W3" s="892" t="s">
        <v>302</v>
      </c>
      <c r="X3" s="893"/>
      <c r="Y3" s="894"/>
      <c r="Z3" s="304"/>
      <c r="AA3" s="20"/>
      <c r="AB3" s="20"/>
      <c r="AC3" s="20"/>
    </row>
    <row r="4" spans="1:29" ht="35.25" customHeight="1" thickBot="1" x14ac:dyDescent="0.25">
      <c r="A4" s="263" t="s">
        <v>86</v>
      </c>
      <c r="B4" s="331" t="s">
        <v>87</v>
      </c>
      <c r="C4" s="331" t="s">
        <v>88</v>
      </c>
      <c r="D4" s="331" t="s">
        <v>89</v>
      </c>
      <c r="E4" s="331" t="s">
        <v>90</v>
      </c>
      <c r="F4" s="331" t="s">
        <v>242</v>
      </c>
      <c r="G4" s="332" t="s">
        <v>91</v>
      </c>
      <c r="H4" s="331" t="s">
        <v>92</v>
      </c>
      <c r="I4" s="332" t="s">
        <v>93</v>
      </c>
      <c r="J4" s="333" t="s">
        <v>94</v>
      </c>
      <c r="K4" s="334" t="s">
        <v>191</v>
      </c>
      <c r="L4" s="332" t="s">
        <v>192</v>
      </c>
      <c r="M4" s="332" t="s">
        <v>202</v>
      </c>
      <c r="N4" s="334" t="s">
        <v>191</v>
      </c>
      <c r="O4" s="332" t="s">
        <v>192</v>
      </c>
      <c r="P4" s="332" t="s">
        <v>202</v>
      </c>
      <c r="Q4" s="334" t="s">
        <v>191</v>
      </c>
      <c r="R4" s="332" t="s">
        <v>192</v>
      </c>
      <c r="S4" s="332" t="s">
        <v>202</v>
      </c>
      <c r="T4" s="334" t="s">
        <v>191</v>
      </c>
      <c r="U4" s="332" t="s">
        <v>192</v>
      </c>
      <c r="V4" s="332" t="s">
        <v>202</v>
      </c>
      <c r="W4" s="334" t="s">
        <v>191</v>
      </c>
      <c r="X4" s="332" t="s">
        <v>192</v>
      </c>
      <c r="Y4" s="333" t="s">
        <v>202</v>
      </c>
      <c r="Z4" s="335" t="s">
        <v>193</v>
      </c>
      <c r="AA4" s="331" t="s">
        <v>174</v>
      </c>
      <c r="AB4" s="336" t="s">
        <v>95</v>
      </c>
      <c r="AC4" s="337" t="s">
        <v>195</v>
      </c>
    </row>
    <row r="5" spans="1:29" ht="18.75" customHeight="1" thickBot="1" x14ac:dyDescent="0.25">
      <c r="A5" s="688"/>
      <c r="B5" s="680"/>
      <c r="C5" s="681"/>
      <c r="D5" s="682"/>
      <c r="E5" s="683"/>
      <c r="F5" s="683"/>
      <c r="G5" s="683"/>
      <c r="H5" s="683"/>
      <c r="I5" s="306">
        <v>311462</v>
      </c>
      <c r="J5" s="685">
        <v>20697.5</v>
      </c>
      <c r="K5" s="691"/>
      <c r="L5" s="306">
        <v>35368</v>
      </c>
      <c r="M5" s="692"/>
      <c r="N5" s="682"/>
      <c r="O5" s="682">
        <v>30278</v>
      </c>
      <c r="P5" s="693"/>
      <c r="Q5" s="682"/>
      <c r="R5" s="682">
        <v>35756</v>
      </c>
      <c r="S5" s="693"/>
      <c r="T5" s="682"/>
      <c r="U5" s="682">
        <v>32563</v>
      </c>
      <c r="V5" s="693"/>
      <c r="W5" s="682"/>
      <c r="X5" s="682">
        <v>21192</v>
      </c>
      <c r="Y5" s="693"/>
      <c r="Z5" s="693"/>
      <c r="AA5" s="682"/>
      <c r="AB5" s="682"/>
      <c r="AC5" s="694"/>
    </row>
    <row r="6" spans="1:29" ht="20.100000000000001" customHeight="1" thickBot="1" x14ac:dyDescent="0.25">
      <c r="A6" s="689">
        <f>Gen!B11</f>
        <v>44136</v>
      </c>
      <c r="B6" s="684">
        <f>Gen!C11</f>
        <v>2.5999999999999999E-2</v>
      </c>
      <c r="C6" s="801">
        <v>11879.5</v>
      </c>
      <c r="D6" s="802">
        <v>21840.2</v>
      </c>
      <c r="E6" s="491"/>
      <c r="F6" s="306"/>
      <c r="G6" s="306">
        <v>58.61</v>
      </c>
      <c r="H6" s="306"/>
      <c r="I6" s="306">
        <v>31150.9</v>
      </c>
      <c r="J6" s="685">
        <v>20700.5</v>
      </c>
      <c r="K6" s="695">
        <f>L5</f>
        <v>35368</v>
      </c>
      <c r="L6" s="306">
        <v>35381</v>
      </c>
      <c r="M6" s="305">
        <f>L6-K6</f>
        <v>13</v>
      </c>
      <c r="N6" s="307">
        <f>O5</f>
        <v>30278</v>
      </c>
      <c r="O6" s="682">
        <v>30278</v>
      </c>
      <c r="P6" s="305">
        <f>O6-N6</f>
        <v>0</v>
      </c>
      <c r="Q6" s="305">
        <f>R5</f>
        <v>35756</v>
      </c>
      <c r="R6" s="682">
        <v>35756</v>
      </c>
      <c r="S6" s="305">
        <f>R6-Q6</f>
        <v>0</v>
      </c>
      <c r="T6" s="305">
        <f>U5</f>
        <v>32563</v>
      </c>
      <c r="U6" s="682">
        <v>32563</v>
      </c>
      <c r="V6" s="305">
        <f>U6-T6</f>
        <v>0</v>
      </c>
      <c r="W6" s="307">
        <f>X5</f>
        <v>21192</v>
      </c>
      <c r="X6" s="306">
        <v>21205</v>
      </c>
      <c r="Y6" s="305">
        <f>X6-W6</f>
        <v>13</v>
      </c>
      <c r="Z6" s="308">
        <f>Y6+V6+S6+P6+M6</f>
        <v>26</v>
      </c>
      <c r="AA6" s="126">
        <v>230</v>
      </c>
      <c r="AB6" s="126">
        <v>125</v>
      </c>
      <c r="AC6" s="696">
        <f>Gen!AS11</f>
        <v>956.05</v>
      </c>
    </row>
    <row r="7" spans="1:29" ht="20.100000000000001" customHeight="1" thickBot="1" x14ac:dyDescent="0.25">
      <c r="A7" s="689">
        <f>Gen!B12</f>
        <v>44137</v>
      </c>
      <c r="B7" s="684">
        <f>Gen!C12</f>
        <v>5.1900000000000002E-2</v>
      </c>
      <c r="C7" s="801">
        <v>9664.24</v>
      </c>
      <c r="D7" s="802">
        <v>21840.2</v>
      </c>
      <c r="E7" s="491"/>
      <c r="F7" s="306"/>
      <c r="G7" s="306">
        <v>21.62</v>
      </c>
      <c r="H7" s="306"/>
      <c r="I7" s="306">
        <v>31153.9</v>
      </c>
      <c r="J7" s="685">
        <v>20703.7</v>
      </c>
      <c r="K7" s="695">
        <f t="shared" ref="K7:K37" si="0">L6</f>
        <v>35381</v>
      </c>
      <c r="L7" s="306">
        <v>35391</v>
      </c>
      <c r="M7" s="305">
        <f t="shared" ref="M7:M37" si="1">L7-K7</f>
        <v>10</v>
      </c>
      <c r="N7" s="307">
        <f t="shared" ref="N7:N37" si="2">O6</f>
        <v>30278</v>
      </c>
      <c r="O7" s="682">
        <v>30278</v>
      </c>
      <c r="P7" s="305">
        <f t="shared" ref="P7:P37" si="3">O7-N7</f>
        <v>0</v>
      </c>
      <c r="Q7" s="305">
        <f t="shared" ref="Q7:Q37" si="4">R6</f>
        <v>35756</v>
      </c>
      <c r="R7" s="682">
        <v>35756</v>
      </c>
      <c r="S7" s="305">
        <f t="shared" ref="S7:S37" si="5">R7-Q7</f>
        <v>0</v>
      </c>
      <c r="T7" s="305">
        <f t="shared" ref="T7:T37" si="6">U6</f>
        <v>32563</v>
      </c>
      <c r="U7" s="306">
        <v>32576</v>
      </c>
      <c r="V7" s="305">
        <f t="shared" ref="V7:V37" si="7">U7-T7</f>
        <v>13</v>
      </c>
      <c r="W7" s="307">
        <f t="shared" ref="W7:W37" si="8">X6</f>
        <v>21205</v>
      </c>
      <c r="X7" s="306">
        <v>21205</v>
      </c>
      <c r="Y7" s="305">
        <f t="shared" ref="Y7:Y37" si="9">X7-W7</f>
        <v>0</v>
      </c>
      <c r="Z7" s="308">
        <f t="shared" ref="Z7:Z25" si="10">Y7+V7+S7+P7+M7</f>
        <v>23</v>
      </c>
      <c r="AA7" s="126">
        <v>210</v>
      </c>
      <c r="AB7" s="126">
        <v>121</v>
      </c>
      <c r="AC7" s="696">
        <f>Gen!AS12</f>
        <v>1129.54</v>
      </c>
    </row>
    <row r="8" spans="1:29" ht="20.100000000000001" customHeight="1" thickBot="1" x14ac:dyDescent="0.25">
      <c r="A8" s="689">
        <f>Gen!B13</f>
        <v>44138</v>
      </c>
      <c r="B8" s="684">
        <f>Gen!C13</f>
        <v>7.7899999999999997E-2</v>
      </c>
      <c r="C8" s="801">
        <v>8593.31</v>
      </c>
      <c r="D8" s="802">
        <v>21840.2</v>
      </c>
      <c r="E8" s="491"/>
      <c r="F8" s="306"/>
      <c r="G8" s="306">
        <v>38.270000000000003</v>
      </c>
      <c r="H8" s="306"/>
      <c r="I8" s="306">
        <v>31157.5</v>
      </c>
      <c r="J8" s="685">
        <v>20707.099999999999</v>
      </c>
      <c r="K8" s="695">
        <f t="shared" si="0"/>
        <v>35391</v>
      </c>
      <c r="L8" s="306">
        <v>35391</v>
      </c>
      <c r="M8" s="305">
        <f t="shared" si="1"/>
        <v>0</v>
      </c>
      <c r="N8" s="307">
        <f t="shared" si="2"/>
        <v>30278</v>
      </c>
      <c r="O8" s="306">
        <v>30290</v>
      </c>
      <c r="P8" s="305">
        <f t="shared" si="3"/>
        <v>12</v>
      </c>
      <c r="Q8" s="305">
        <f t="shared" si="4"/>
        <v>35756</v>
      </c>
      <c r="R8" s="682">
        <v>35756</v>
      </c>
      <c r="S8" s="305">
        <f t="shared" si="5"/>
        <v>0</v>
      </c>
      <c r="T8" s="305">
        <f t="shared" si="6"/>
        <v>32576</v>
      </c>
      <c r="U8" s="306">
        <v>32576</v>
      </c>
      <c r="V8" s="305">
        <f t="shared" si="7"/>
        <v>0</v>
      </c>
      <c r="W8" s="307">
        <f t="shared" si="8"/>
        <v>21205</v>
      </c>
      <c r="X8" s="306">
        <v>21217</v>
      </c>
      <c r="Y8" s="305">
        <f t="shared" si="9"/>
        <v>12</v>
      </c>
      <c r="Z8" s="308">
        <f t="shared" si="10"/>
        <v>24</v>
      </c>
      <c r="AA8" s="126">
        <v>225</v>
      </c>
      <c r="AB8" s="126">
        <v>120</v>
      </c>
      <c r="AC8" s="696">
        <f>Gen!AS13</f>
        <v>1203.2599999999998</v>
      </c>
    </row>
    <row r="9" spans="1:29" ht="20.100000000000001" customHeight="1" x14ac:dyDescent="0.2">
      <c r="A9" s="689">
        <f>Gen!B14</f>
        <v>44139</v>
      </c>
      <c r="B9" s="684">
        <f>Gen!C14</f>
        <v>6.4899999999999999E-2</v>
      </c>
      <c r="C9" s="801">
        <v>7390.05</v>
      </c>
      <c r="D9" s="802">
        <v>21840.2</v>
      </c>
      <c r="E9" s="491"/>
      <c r="F9" s="306">
        <v>18000</v>
      </c>
      <c r="G9" s="306">
        <v>51.1</v>
      </c>
      <c r="H9" s="306"/>
      <c r="I9" s="306">
        <v>31161.3</v>
      </c>
      <c r="J9" s="685">
        <v>20710.7</v>
      </c>
      <c r="K9" s="695">
        <f t="shared" si="0"/>
        <v>35391</v>
      </c>
      <c r="L9" s="306">
        <v>35391</v>
      </c>
      <c r="M9" s="305">
        <f t="shared" si="1"/>
        <v>0</v>
      </c>
      <c r="N9" s="307">
        <f t="shared" si="2"/>
        <v>30290</v>
      </c>
      <c r="O9" s="306">
        <v>30301</v>
      </c>
      <c r="P9" s="305">
        <f t="shared" si="3"/>
        <v>11</v>
      </c>
      <c r="Q9" s="305">
        <f t="shared" si="4"/>
        <v>35756</v>
      </c>
      <c r="R9" s="682">
        <v>35756</v>
      </c>
      <c r="S9" s="305">
        <f t="shared" si="5"/>
        <v>0</v>
      </c>
      <c r="T9" s="305">
        <f t="shared" si="6"/>
        <v>32576</v>
      </c>
      <c r="U9" s="306">
        <v>32589</v>
      </c>
      <c r="V9" s="305">
        <f t="shared" si="7"/>
        <v>13</v>
      </c>
      <c r="W9" s="307">
        <f t="shared" si="8"/>
        <v>21217</v>
      </c>
      <c r="X9" s="306">
        <v>21217</v>
      </c>
      <c r="Y9" s="305">
        <f t="shared" si="9"/>
        <v>0</v>
      </c>
      <c r="Z9" s="308">
        <f t="shared" si="10"/>
        <v>24</v>
      </c>
      <c r="AA9" s="126">
        <v>230</v>
      </c>
      <c r="AB9" s="126">
        <v>115</v>
      </c>
      <c r="AC9" s="696">
        <f>Gen!AS14</f>
        <v>1097.4499999999998</v>
      </c>
    </row>
    <row r="10" spans="1:29" ht="20.100000000000001" customHeight="1" x14ac:dyDescent="0.2">
      <c r="A10" s="689">
        <f>Gen!B15</f>
        <v>44140</v>
      </c>
      <c r="B10" s="684">
        <f>Gen!C15</f>
        <v>2.5999999999999999E-2</v>
      </c>
      <c r="C10" s="801">
        <v>24292.6</v>
      </c>
      <c r="D10" s="802">
        <v>21840.2</v>
      </c>
      <c r="E10" s="491"/>
      <c r="F10" s="306"/>
      <c r="G10" s="306">
        <v>60.15</v>
      </c>
      <c r="H10" s="306"/>
      <c r="I10" s="306">
        <v>31165.4</v>
      </c>
      <c r="J10" s="685">
        <v>20713.900000000001</v>
      </c>
      <c r="K10" s="695">
        <f t="shared" si="0"/>
        <v>35391</v>
      </c>
      <c r="L10" s="306">
        <v>35391</v>
      </c>
      <c r="M10" s="305">
        <f t="shared" si="1"/>
        <v>0</v>
      </c>
      <c r="N10" s="307">
        <f t="shared" si="2"/>
        <v>30301</v>
      </c>
      <c r="O10" s="306">
        <v>30301</v>
      </c>
      <c r="P10" s="305">
        <f t="shared" si="3"/>
        <v>0</v>
      </c>
      <c r="Q10" s="305">
        <f t="shared" si="4"/>
        <v>35756</v>
      </c>
      <c r="R10" s="306">
        <v>35764</v>
      </c>
      <c r="S10" s="305">
        <f t="shared" si="5"/>
        <v>8</v>
      </c>
      <c r="T10" s="305">
        <f t="shared" si="6"/>
        <v>32589</v>
      </c>
      <c r="U10" s="306">
        <v>32607</v>
      </c>
      <c r="V10" s="305">
        <f t="shared" si="7"/>
        <v>18</v>
      </c>
      <c r="W10" s="307">
        <f t="shared" si="8"/>
        <v>21217</v>
      </c>
      <c r="X10" s="306">
        <v>21217</v>
      </c>
      <c r="Y10" s="305">
        <f t="shared" si="9"/>
        <v>0</v>
      </c>
      <c r="Z10" s="308">
        <f t="shared" si="10"/>
        <v>26</v>
      </c>
      <c r="AA10" s="126">
        <v>224</v>
      </c>
      <c r="AB10" s="126">
        <v>119</v>
      </c>
      <c r="AC10" s="696">
        <f>Gen!AS15</f>
        <v>1118.3499999999999</v>
      </c>
    </row>
    <row r="11" spans="1:29" ht="20.100000000000001" customHeight="1" x14ac:dyDescent="0.2">
      <c r="A11" s="689">
        <f>Gen!B16</f>
        <v>44141</v>
      </c>
      <c r="B11" s="684">
        <f>Gen!C16</f>
        <v>6.4899999999999999E-2</v>
      </c>
      <c r="C11" s="801">
        <v>23174.25</v>
      </c>
      <c r="D11" s="802">
        <v>21840.2</v>
      </c>
      <c r="E11" s="491"/>
      <c r="F11" s="306"/>
      <c r="G11" s="306">
        <v>92</v>
      </c>
      <c r="H11" s="306"/>
      <c r="I11" s="306">
        <v>31168.7</v>
      </c>
      <c r="J11" s="685">
        <v>20716.900000000001</v>
      </c>
      <c r="K11" s="695">
        <f t="shared" si="0"/>
        <v>35391</v>
      </c>
      <c r="L11" s="306">
        <v>35391</v>
      </c>
      <c r="M11" s="305">
        <f t="shared" si="1"/>
        <v>0</v>
      </c>
      <c r="N11" s="307">
        <f t="shared" si="2"/>
        <v>30301</v>
      </c>
      <c r="O11" s="306">
        <v>30312</v>
      </c>
      <c r="P11" s="305">
        <f t="shared" si="3"/>
        <v>11</v>
      </c>
      <c r="Q11" s="305">
        <f t="shared" si="4"/>
        <v>35764</v>
      </c>
      <c r="R11" s="306">
        <v>35764</v>
      </c>
      <c r="S11" s="305">
        <f t="shared" si="5"/>
        <v>0</v>
      </c>
      <c r="T11" s="305">
        <f t="shared" si="6"/>
        <v>32607</v>
      </c>
      <c r="U11" s="306">
        <v>32608</v>
      </c>
      <c r="V11" s="305">
        <f t="shared" si="7"/>
        <v>1</v>
      </c>
      <c r="W11" s="307">
        <f t="shared" si="8"/>
        <v>21217</v>
      </c>
      <c r="X11" s="306">
        <v>21230</v>
      </c>
      <c r="Y11" s="305">
        <f t="shared" si="9"/>
        <v>13</v>
      </c>
      <c r="Z11" s="308">
        <f t="shared" si="10"/>
        <v>25</v>
      </c>
      <c r="AA11" s="126">
        <v>225</v>
      </c>
      <c r="AB11" s="126">
        <v>120</v>
      </c>
      <c r="AC11" s="696">
        <f>Gen!AS16</f>
        <v>1081.82</v>
      </c>
    </row>
    <row r="12" spans="1:29" ht="20.100000000000001" customHeight="1" x14ac:dyDescent="0.2">
      <c r="A12" s="689">
        <f>Gen!B17</f>
        <v>44142</v>
      </c>
      <c r="B12" s="684">
        <f>Gen!C17</f>
        <v>5.1900000000000002E-2</v>
      </c>
      <c r="C12" s="801">
        <v>22092.43</v>
      </c>
      <c r="D12" s="802">
        <v>21840.2</v>
      </c>
      <c r="E12" s="491"/>
      <c r="F12" s="306"/>
      <c r="G12" s="306"/>
      <c r="H12" s="306"/>
      <c r="I12" s="306">
        <v>31117.200000000001</v>
      </c>
      <c r="J12" s="685">
        <v>20719.099999999999</v>
      </c>
      <c r="K12" s="695">
        <f t="shared" si="0"/>
        <v>35391</v>
      </c>
      <c r="L12" s="306">
        <v>35391</v>
      </c>
      <c r="M12" s="305">
        <f t="shared" si="1"/>
        <v>0</v>
      </c>
      <c r="N12" s="307">
        <f t="shared" si="2"/>
        <v>30312</v>
      </c>
      <c r="O12" s="306">
        <v>30325</v>
      </c>
      <c r="P12" s="305">
        <f t="shared" si="3"/>
        <v>13</v>
      </c>
      <c r="Q12" s="305">
        <f t="shared" si="4"/>
        <v>35764</v>
      </c>
      <c r="R12" s="306">
        <v>35764</v>
      </c>
      <c r="S12" s="305">
        <f t="shared" si="5"/>
        <v>0</v>
      </c>
      <c r="T12" s="305">
        <f t="shared" si="6"/>
        <v>32608</v>
      </c>
      <c r="U12" s="306">
        <v>32620</v>
      </c>
      <c r="V12" s="305">
        <f t="shared" si="7"/>
        <v>12</v>
      </c>
      <c r="W12" s="307">
        <f t="shared" si="8"/>
        <v>21230</v>
      </c>
      <c r="X12" s="306">
        <v>21230</v>
      </c>
      <c r="Y12" s="305">
        <f t="shared" si="9"/>
        <v>0</v>
      </c>
      <c r="Z12" s="308">
        <f t="shared" si="10"/>
        <v>25</v>
      </c>
      <c r="AA12" s="126">
        <v>210</v>
      </c>
      <c r="AB12" s="126">
        <v>120</v>
      </c>
      <c r="AC12" s="696">
        <f>Gen!AS17</f>
        <v>960.94999999999993</v>
      </c>
    </row>
    <row r="13" spans="1:29" ht="20.100000000000001" customHeight="1" x14ac:dyDescent="0.2">
      <c r="A13" s="689">
        <f>Gen!B18</f>
        <v>44143</v>
      </c>
      <c r="B13" s="684">
        <f>Gen!C18</f>
        <v>0</v>
      </c>
      <c r="C13" s="801">
        <v>20887.650000000001</v>
      </c>
      <c r="D13" s="802">
        <v>21840.2</v>
      </c>
      <c r="E13" s="491"/>
      <c r="F13" s="306"/>
      <c r="G13" s="306"/>
      <c r="H13" s="306"/>
      <c r="I13" s="306">
        <v>31176.1</v>
      </c>
      <c r="J13" s="685">
        <v>20723.099999999999</v>
      </c>
      <c r="K13" s="695">
        <f t="shared" si="0"/>
        <v>35391</v>
      </c>
      <c r="L13" s="306">
        <v>35391</v>
      </c>
      <c r="M13" s="305">
        <f t="shared" si="1"/>
        <v>0</v>
      </c>
      <c r="N13" s="307">
        <f t="shared" si="2"/>
        <v>30325</v>
      </c>
      <c r="O13" s="306">
        <v>30325</v>
      </c>
      <c r="P13" s="305">
        <f t="shared" si="3"/>
        <v>0</v>
      </c>
      <c r="Q13" s="305">
        <f t="shared" si="4"/>
        <v>35764</v>
      </c>
      <c r="R13" s="306">
        <v>35773</v>
      </c>
      <c r="S13" s="305">
        <f t="shared" si="5"/>
        <v>9</v>
      </c>
      <c r="T13" s="305">
        <f t="shared" si="6"/>
        <v>32620</v>
      </c>
      <c r="U13" s="306">
        <v>32620</v>
      </c>
      <c r="V13" s="305">
        <f t="shared" si="7"/>
        <v>0</v>
      </c>
      <c r="W13" s="307">
        <f t="shared" si="8"/>
        <v>21230</v>
      </c>
      <c r="X13" s="306">
        <v>21246</v>
      </c>
      <c r="Y13" s="305">
        <f t="shared" si="9"/>
        <v>16</v>
      </c>
      <c r="Z13" s="308">
        <f t="shared" si="10"/>
        <v>25</v>
      </c>
      <c r="AA13" s="126">
        <v>226</v>
      </c>
      <c r="AB13" s="126">
        <v>109</v>
      </c>
      <c r="AC13" s="696">
        <f>Gen!AS18</f>
        <v>1024.56</v>
      </c>
    </row>
    <row r="14" spans="1:29" ht="20.100000000000001" customHeight="1" x14ac:dyDescent="0.2">
      <c r="A14" s="689">
        <f>Gen!B19</f>
        <v>44144</v>
      </c>
      <c r="B14" s="684">
        <f>Gen!C19</f>
        <v>1.2999999999999999E-2</v>
      </c>
      <c r="C14" s="801">
        <v>20106.919999999998</v>
      </c>
      <c r="D14" s="802">
        <v>21840.2</v>
      </c>
      <c r="E14" s="491"/>
      <c r="F14" s="306"/>
      <c r="G14" s="306">
        <v>44.3</v>
      </c>
      <c r="H14" s="306"/>
      <c r="I14" s="306">
        <v>31179.7</v>
      </c>
      <c r="J14" s="685">
        <v>20726.2</v>
      </c>
      <c r="K14" s="695">
        <f t="shared" si="0"/>
        <v>35391</v>
      </c>
      <c r="L14" s="306">
        <v>35391</v>
      </c>
      <c r="M14" s="305">
        <f t="shared" si="1"/>
        <v>0</v>
      </c>
      <c r="N14" s="307">
        <f t="shared" si="2"/>
        <v>30325</v>
      </c>
      <c r="O14" s="306">
        <v>30336</v>
      </c>
      <c r="P14" s="305">
        <f t="shared" si="3"/>
        <v>11</v>
      </c>
      <c r="Q14" s="305">
        <f t="shared" si="4"/>
        <v>35773</v>
      </c>
      <c r="R14" s="306">
        <v>35773</v>
      </c>
      <c r="S14" s="305">
        <f t="shared" si="5"/>
        <v>0</v>
      </c>
      <c r="T14" s="305">
        <f t="shared" si="6"/>
        <v>32620</v>
      </c>
      <c r="U14" s="306">
        <v>32633</v>
      </c>
      <c r="V14" s="305">
        <f t="shared" si="7"/>
        <v>13</v>
      </c>
      <c r="W14" s="307">
        <f t="shared" si="8"/>
        <v>21246</v>
      </c>
      <c r="X14" s="306">
        <v>21247</v>
      </c>
      <c r="Y14" s="305">
        <f t="shared" si="9"/>
        <v>1</v>
      </c>
      <c r="Z14" s="308">
        <f t="shared" si="10"/>
        <v>25</v>
      </c>
      <c r="AA14" s="126">
        <v>220</v>
      </c>
      <c r="AB14" s="126">
        <v>110</v>
      </c>
      <c r="AC14" s="696">
        <f>Gen!AS19</f>
        <v>1092.1499999999999</v>
      </c>
    </row>
    <row r="15" spans="1:29" ht="20.100000000000001" customHeight="1" x14ac:dyDescent="0.2">
      <c r="A15" s="689">
        <f>Gen!B20</f>
        <v>44145</v>
      </c>
      <c r="B15" s="684">
        <f>Gen!C20</f>
        <v>3.9E-2</v>
      </c>
      <c r="C15" s="801">
        <v>19014.77</v>
      </c>
      <c r="D15" s="802">
        <v>21840.2</v>
      </c>
      <c r="E15" s="491"/>
      <c r="F15" s="306"/>
      <c r="G15" s="306"/>
      <c r="H15" s="306"/>
      <c r="I15" s="306">
        <v>31183.200000000001</v>
      </c>
      <c r="J15" s="685">
        <v>20729.3</v>
      </c>
      <c r="K15" s="695">
        <f t="shared" si="0"/>
        <v>35391</v>
      </c>
      <c r="L15" s="306">
        <v>35391</v>
      </c>
      <c r="M15" s="305">
        <f t="shared" si="1"/>
        <v>0</v>
      </c>
      <c r="N15" s="307">
        <f t="shared" si="2"/>
        <v>30336</v>
      </c>
      <c r="O15" s="306">
        <v>30348</v>
      </c>
      <c r="P15" s="305">
        <f t="shared" si="3"/>
        <v>12</v>
      </c>
      <c r="Q15" s="305">
        <f t="shared" si="4"/>
        <v>35773</v>
      </c>
      <c r="R15" s="306">
        <v>35773</v>
      </c>
      <c r="S15" s="305">
        <f t="shared" si="5"/>
        <v>0</v>
      </c>
      <c r="T15" s="305">
        <f t="shared" si="6"/>
        <v>32633</v>
      </c>
      <c r="U15" s="306">
        <v>32633</v>
      </c>
      <c r="V15" s="305">
        <f t="shared" si="7"/>
        <v>0</v>
      </c>
      <c r="W15" s="307">
        <f t="shared" si="8"/>
        <v>21247</v>
      </c>
      <c r="X15" s="306">
        <v>21247</v>
      </c>
      <c r="Y15" s="305">
        <f t="shared" si="9"/>
        <v>0</v>
      </c>
      <c r="Z15" s="308">
        <f t="shared" si="10"/>
        <v>12</v>
      </c>
      <c r="AA15" s="126">
        <v>230</v>
      </c>
      <c r="AB15" s="126">
        <v>120</v>
      </c>
      <c r="AC15" s="696">
        <f>Gen!AS20</f>
        <v>981.99</v>
      </c>
    </row>
    <row r="16" spans="1:29" ht="20.100000000000001" customHeight="1" x14ac:dyDescent="0.2">
      <c r="A16" s="689">
        <f>Gen!B21</f>
        <v>44146</v>
      </c>
      <c r="B16" s="684">
        <f>Gen!C21</f>
        <v>6.4899999999999999E-2</v>
      </c>
      <c r="C16" s="801">
        <v>18081.52</v>
      </c>
      <c r="D16" s="802">
        <v>21840.2</v>
      </c>
      <c r="E16" s="491"/>
      <c r="F16" s="306"/>
      <c r="G16" s="306">
        <v>24.05</v>
      </c>
      <c r="H16" s="306"/>
      <c r="I16" s="306">
        <v>31186.5</v>
      </c>
      <c r="J16" s="685">
        <v>20732.5</v>
      </c>
      <c r="K16" s="695">
        <f t="shared" si="0"/>
        <v>35391</v>
      </c>
      <c r="L16" s="306">
        <v>35391</v>
      </c>
      <c r="M16" s="305">
        <f>L16-K16</f>
        <v>0</v>
      </c>
      <c r="N16" s="307">
        <f t="shared" si="2"/>
        <v>30348</v>
      </c>
      <c r="O16" s="306">
        <v>30348</v>
      </c>
      <c r="P16" s="305">
        <f t="shared" si="3"/>
        <v>0</v>
      </c>
      <c r="Q16" s="305">
        <f t="shared" si="4"/>
        <v>35773</v>
      </c>
      <c r="R16" s="306">
        <v>35773</v>
      </c>
      <c r="S16" s="305">
        <f t="shared" si="5"/>
        <v>0</v>
      </c>
      <c r="T16" s="305">
        <f t="shared" si="6"/>
        <v>32633</v>
      </c>
      <c r="U16" s="306">
        <v>32645</v>
      </c>
      <c r="V16" s="305">
        <f t="shared" si="7"/>
        <v>12</v>
      </c>
      <c r="W16" s="307">
        <f t="shared" si="8"/>
        <v>21247</v>
      </c>
      <c r="X16" s="306">
        <v>21270</v>
      </c>
      <c r="Y16" s="305">
        <f t="shared" si="9"/>
        <v>23</v>
      </c>
      <c r="Z16" s="308">
        <f t="shared" si="10"/>
        <v>35</v>
      </c>
      <c r="AA16" s="126">
        <v>219</v>
      </c>
      <c r="AB16" s="126">
        <v>120</v>
      </c>
      <c r="AC16" s="696">
        <f>Gen!AS21</f>
        <v>966.28</v>
      </c>
    </row>
    <row r="17" spans="1:29" ht="20.100000000000001" customHeight="1" x14ac:dyDescent="0.2">
      <c r="A17" s="689">
        <f>Gen!B22</f>
        <v>44147</v>
      </c>
      <c r="B17" s="684">
        <f>Gen!C22</f>
        <v>0.05</v>
      </c>
      <c r="C17" s="801">
        <v>17066.5</v>
      </c>
      <c r="D17" s="802">
        <v>21840.2</v>
      </c>
      <c r="E17" s="491"/>
      <c r="F17" s="306"/>
      <c r="G17" s="306">
        <v>43.4</v>
      </c>
      <c r="H17" s="306"/>
      <c r="I17" s="306">
        <v>31190.1</v>
      </c>
      <c r="J17" s="685">
        <v>20735.5</v>
      </c>
      <c r="K17" s="695">
        <f>L16</f>
        <v>35391</v>
      </c>
      <c r="L17" s="306">
        <v>35391</v>
      </c>
      <c r="M17" s="305">
        <f>L17-K17</f>
        <v>0</v>
      </c>
      <c r="N17" s="307">
        <f t="shared" si="2"/>
        <v>30348</v>
      </c>
      <c r="O17" s="306">
        <v>30361</v>
      </c>
      <c r="P17" s="305">
        <f t="shared" si="3"/>
        <v>13</v>
      </c>
      <c r="Q17" s="305">
        <f t="shared" si="4"/>
        <v>35773</v>
      </c>
      <c r="R17" s="306">
        <v>35773</v>
      </c>
      <c r="S17" s="305">
        <f t="shared" si="5"/>
        <v>0</v>
      </c>
      <c r="T17" s="305">
        <f t="shared" si="6"/>
        <v>32645</v>
      </c>
      <c r="U17" s="306">
        <v>32645</v>
      </c>
      <c r="V17" s="305">
        <f t="shared" si="7"/>
        <v>0</v>
      </c>
      <c r="W17" s="307">
        <f t="shared" si="8"/>
        <v>21270</v>
      </c>
      <c r="X17" s="306">
        <v>21282</v>
      </c>
      <c r="Y17" s="305">
        <f t="shared" si="9"/>
        <v>12</v>
      </c>
      <c r="Z17" s="308">
        <f t="shared" si="10"/>
        <v>25</v>
      </c>
      <c r="AA17" s="126">
        <v>220</v>
      </c>
      <c r="AB17" s="126">
        <v>120</v>
      </c>
      <c r="AC17" s="696">
        <f>Gen!AS22</f>
        <v>1126.3600000000001</v>
      </c>
    </row>
    <row r="18" spans="1:29" ht="20.100000000000001" customHeight="1" x14ac:dyDescent="0.2">
      <c r="A18" s="689">
        <f>Gen!B23</f>
        <v>44148</v>
      </c>
      <c r="B18" s="684">
        <f>Gen!C23</f>
        <v>5.1900000000000002E-2</v>
      </c>
      <c r="C18" s="801">
        <v>15940.14</v>
      </c>
      <c r="D18" s="802">
        <v>21840.2</v>
      </c>
      <c r="E18" s="306"/>
      <c r="F18" s="306"/>
      <c r="G18" s="306">
        <v>134</v>
      </c>
      <c r="H18" s="306"/>
      <c r="I18" s="306">
        <v>31193.7</v>
      </c>
      <c r="J18" s="685">
        <v>20738.599999999999</v>
      </c>
      <c r="K18" s="695">
        <f>L17</f>
        <v>35391</v>
      </c>
      <c r="L18" s="306">
        <v>35391</v>
      </c>
      <c r="M18" s="305">
        <f t="shared" si="1"/>
        <v>0</v>
      </c>
      <c r="N18" s="307">
        <f t="shared" si="2"/>
        <v>30361</v>
      </c>
      <c r="O18" s="306">
        <v>30374</v>
      </c>
      <c r="P18" s="305">
        <f t="shared" si="3"/>
        <v>13</v>
      </c>
      <c r="Q18" s="305">
        <f t="shared" si="4"/>
        <v>35773</v>
      </c>
      <c r="R18" s="306">
        <v>35773</v>
      </c>
      <c r="S18" s="305">
        <f t="shared" si="5"/>
        <v>0</v>
      </c>
      <c r="T18" s="305">
        <f t="shared" si="6"/>
        <v>32645</v>
      </c>
      <c r="U18" s="306">
        <v>32658</v>
      </c>
      <c r="V18" s="305">
        <f t="shared" si="7"/>
        <v>13</v>
      </c>
      <c r="W18" s="307">
        <f t="shared" si="8"/>
        <v>21282</v>
      </c>
      <c r="X18" s="306">
        <v>21282</v>
      </c>
      <c r="Y18" s="305">
        <f t="shared" si="9"/>
        <v>0</v>
      </c>
      <c r="Z18" s="308">
        <f t="shared" si="10"/>
        <v>26</v>
      </c>
      <c r="AA18" s="126">
        <v>224</v>
      </c>
      <c r="AB18" s="126">
        <v>198</v>
      </c>
      <c r="AC18" s="696">
        <f>Gen!AS23</f>
        <v>1093.29</v>
      </c>
    </row>
    <row r="19" spans="1:29" ht="20.100000000000001" customHeight="1" x14ac:dyDescent="0.2">
      <c r="A19" s="689">
        <f>Gen!B24</f>
        <v>44149</v>
      </c>
      <c r="B19" s="684">
        <f>Gen!C24</f>
        <v>0.18179999999999999</v>
      </c>
      <c r="C19" s="801">
        <v>14843.85</v>
      </c>
      <c r="D19" s="802">
        <v>21840.2</v>
      </c>
      <c r="E19" s="306"/>
      <c r="F19" s="306"/>
      <c r="G19" s="306"/>
      <c r="H19" s="306"/>
      <c r="I19" s="306">
        <v>31197.8</v>
      </c>
      <c r="J19" s="685">
        <v>20742.900000000001</v>
      </c>
      <c r="K19" s="695">
        <f t="shared" si="0"/>
        <v>35391</v>
      </c>
      <c r="L19" s="306">
        <v>35391</v>
      </c>
      <c r="M19" s="305">
        <f t="shared" si="1"/>
        <v>0</v>
      </c>
      <c r="N19" s="307">
        <f t="shared" si="2"/>
        <v>30374</v>
      </c>
      <c r="O19" s="306">
        <v>30387</v>
      </c>
      <c r="P19" s="305">
        <f t="shared" si="3"/>
        <v>13</v>
      </c>
      <c r="Q19" s="305">
        <f t="shared" si="4"/>
        <v>35773</v>
      </c>
      <c r="R19" s="306">
        <v>35773</v>
      </c>
      <c r="S19" s="305">
        <f t="shared" si="5"/>
        <v>0</v>
      </c>
      <c r="T19" s="305">
        <f t="shared" si="6"/>
        <v>32658</v>
      </c>
      <c r="U19" s="306">
        <v>32667</v>
      </c>
      <c r="V19" s="305">
        <f t="shared" si="7"/>
        <v>9</v>
      </c>
      <c r="W19" s="307">
        <f t="shared" si="8"/>
        <v>21282</v>
      </c>
      <c r="X19" s="306">
        <v>21282</v>
      </c>
      <c r="Y19" s="305">
        <f t="shared" si="9"/>
        <v>0</v>
      </c>
      <c r="Z19" s="308">
        <f t="shared" si="10"/>
        <v>22</v>
      </c>
      <c r="AA19" s="126">
        <v>230</v>
      </c>
      <c r="AB19" s="126">
        <v>120</v>
      </c>
      <c r="AC19" s="696">
        <f>Gen!AS24</f>
        <v>962.89</v>
      </c>
    </row>
    <row r="20" spans="1:29" ht="20.100000000000001" customHeight="1" x14ac:dyDescent="0.2">
      <c r="A20" s="689">
        <f>Gen!B25</f>
        <v>44150</v>
      </c>
      <c r="B20" s="684">
        <f>Gen!C25</f>
        <v>0.1429</v>
      </c>
      <c r="C20" s="801">
        <v>13873.96</v>
      </c>
      <c r="D20" s="802">
        <v>21840.2</v>
      </c>
      <c r="E20" s="306"/>
      <c r="F20" s="306"/>
      <c r="G20" s="306">
        <v>159.26</v>
      </c>
      <c r="H20" s="306"/>
      <c r="I20" s="306">
        <v>31201.7</v>
      </c>
      <c r="J20" s="685">
        <v>20745</v>
      </c>
      <c r="K20" s="695">
        <f t="shared" si="0"/>
        <v>35391</v>
      </c>
      <c r="L20" s="306">
        <v>35391</v>
      </c>
      <c r="M20" s="305">
        <f t="shared" si="1"/>
        <v>0</v>
      </c>
      <c r="N20" s="307">
        <f t="shared" si="2"/>
        <v>30387</v>
      </c>
      <c r="O20" s="306">
        <v>30387</v>
      </c>
      <c r="P20" s="305">
        <f t="shared" si="3"/>
        <v>0</v>
      </c>
      <c r="Q20" s="305">
        <f t="shared" si="4"/>
        <v>35773</v>
      </c>
      <c r="R20" s="306">
        <v>35773</v>
      </c>
      <c r="S20" s="305">
        <f t="shared" si="5"/>
        <v>0</v>
      </c>
      <c r="T20" s="305">
        <f t="shared" si="6"/>
        <v>32667</v>
      </c>
      <c r="U20" s="306">
        <v>32679</v>
      </c>
      <c r="V20" s="305">
        <f t="shared" si="7"/>
        <v>12</v>
      </c>
      <c r="W20" s="307">
        <f t="shared" si="8"/>
        <v>21282</v>
      </c>
      <c r="X20" s="306">
        <v>21296</v>
      </c>
      <c r="Y20" s="305">
        <f t="shared" si="9"/>
        <v>14</v>
      </c>
      <c r="Z20" s="308">
        <f t="shared" si="10"/>
        <v>26</v>
      </c>
      <c r="AA20" s="126">
        <v>225</v>
      </c>
      <c r="AB20" s="126">
        <v>180</v>
      </c>
      <c r="AC20" s="696">
        <f>Gen!AS25</f>
        <v>1214.33</v>
      </c>
    </row>
    <row r="21" spans="1:29" ht="20.100000000000001" customHeight="1" x14ac:dyDescent="0.2">
      <c r="A21" s="689">
        <f>Gen!B26</f>
        <v>44151</v>
      </c>
      <c r="B21" s="684">
        <f>Gen!C26</f>
        <v>0.12989999999999999</v>
      </c>
      <c r="C21" s="801">
        <v>12659.63</v>
      </c>
      <c r="D21" s="802">
        <v>21840.2</v>
      </c>
      <c r="E21" s="306"/>
      <c r="F21" s="306"/>
      <c r="G21" s="306">
        <v>67.510000000000005</v>
      </c>
      <c r="H21" s="306"/>
      <c r="I21" s="306">
        <v>31205.7</v>
      </c>
      <c r="J21" s="685">
        <v>20748.099999999999</v>
      </c>
      <c r="K21" s="695">
        <f t="shared" si="0"/>
        <v>35391</v>
      </c>
      <c r="L21" s="306">
        <v>35391</v>
      </c>
      <c r="M21" s="305">
        <f t="shared" si="1"/>
        <v>0</v>
      </c>
      <c r="N21" s="307">
        <f t="shared" si="2"/>
        <v>30387</v>
      </c>
      <c r="O21" s="306">
        <v>30400</v>
      </c>
      <c r="P21" s="305">
        <f t="shared" si="3"/>
        <v>13</v>
      </c>
      <c r="Q21" s="305">
        <f t="shared" si="4"/>
        <v>35773</v>
      </c>
      <c r="R21" s="306">
        <v>35773</v>
      </c>
      <c r="S21" s="305">
        <f t="shared" si="5"/>
        <v>0</v>
      </c>
      <c r="T21" s="305">
        <f t="shared" si="6"/>
        <v>32679</v>
      </c>
      <c r="U21" s="306">
        <v>32679</v>
      </c>
      <c r="V21" s="305">
        <f t="shared" si="7"/>
        <v>0</v>
      </c>
      <c r="W21" s="307">
        <f t="shared" si="8"/>
        <v>21296</v>
      </c>
      <c r="X21" s="306">
        <v>21308</v>
      </c>
      <c r="Y21" s="305">
        <f t="shared" si="9"/>
        <v>12</v>
      </c>
      <c r="Z21" s="308">
        <f t="shared" si="10"/>
        <v>25</v>
      </c>
      <c r="AA21" s="126">
        <v>218</v>
      </c>
      <c r="AB21" s="126">
        <v>199</v>
      </c>
      <c r="AC21" s="696">
        <f>Gen!AS26</f>
        <v>1197.1600000000001</v>
      </c>
    </row>
    <row r="22" spans="1:29" ht="18.75" customHeight="1" x14ac:dyDescent="0.2">
      <c r="A22" s="689">
        <f>Gen!B27</f>
        <v>44152</v>
      </c>
      <c r="B22" s="684">
        <f>Gen!C27</f>
        <v>0.03</v>
      </c>
      <c r="C22" s="801">
        <v>11462.47</v>
      </c>
      <c r="D22" s="802">
        <v>21840.2</v>
      </c>
      <c r="E22" s="306"/>
      <c r="F22" s="306"/>
      <c r="G22" s="306"/>
      <c r="H22" s="306"/>
      <c r="I22" s="306">
        <v>31209.3</v>
      </c>
      <c r="J22" s="685">
        <v>20750.7</v>
      </c>
      <c r="K22" s="695">
        <f t="shared" si="0"/>
        <v>35391</v>
      </c>
      <c r="L22" s="306">
        <v>35391</v>
      </c>
      <c r="M22" s="305">
        <f t="shared" si="1"/>
        <v>0</v>
      </c>
      <c r="N22" s="307">
        <f t="shared" si="2"/>
        <v>30400</v>
      </c>
      <c r="O22" s="306">
        <v>30413</v>
      </c>
      <c r="P22" s="305">
        <f t="shared" si="3"/>
        <v>13</v>
      </c>
      <c r="Q22" s="305">
        <f t="shared" si="4"/>
        <v>35773</v>
      </c>
      <c r="R22" s="306">
        <v>35773</v>
      </c>
      <c r="S22" s="305">
        <f t="shared" si="5"/>
        <v>0</v>
      </c>
      <c r="T22" s="305">
        <f t="shared" si="6"/>
        <v>32679</v>
      </c>
      <c r="U22" s="306">
        <v>32690</v>
      </c>
      <c r="V22" s="305">
        <f t="shared" si="7"/>
        <v>11</v>
      </c>
      <c r="W22" s="307">
        <f t="shared" si="8"/>
        <v>21308</v>
      </c>
      <c r="X22" s="306">
        <v>21308</v>
      </c>
      <c r="Y22" s="305">
        <f t="shared" si="9"/>
        <v>0</v>
      </c>
      <c r="Z22" s="308">
        <f t="shared" si="10"/>
        <v>24</v>
      </c>
      <c r="AA22" s="126">
        <v>220</v>
      </c>
      <c r="AB22" s="126">
        <v>190</v>
      </c>
      <c r="AC22" s="696">
        <f>Gen!AS27</f>
        <v>928.98</v>
      </c>
    </row>
    <row r="23" spans="1:29" ht="20.100000000000001" customHeight="1" x14ac:dyDescent="0.2">
      <c r="A23" s="689">
        <f>Gen!B28</f>
        <v>44153</v>
      </c>
      <c r="B23" s="684">
        <f>Gen!C28</f>
        <v>0.104</v>
      </c>
      <c r="C23" s="801">
        <v>10533.49</v>
      </c>
      <c r="D23" s="802">
        <v>21840.2</v>
      </c>
      <c r="E23" s="491"/>
      <c r="F23" s="306"/>
      <c r="G23" s="306">
        <v>22.59</v>
      </c>
      <c r="H23" s="306"/>
      <c r="I23" s="306">
        <v>31213.3</v>
      </c>
      <c r="J23" s="685">
        <v>20753.599999999999</v>
      </c>
      <c r="K23" s="695">
        <f t="shared" si="0"/>
        <v>35391</v>
      </c>
      <c r="L23" s="306">
        <v>35391</v>
      </c>
      <c r="M23" s="305">
        <f t="shared" si="1"/>
        <v>0</v>
      </c>
      <c r="N23" s="307">
        <f t="shared" si="2"/>
        <v>30413</v>
      </c>
      <c r="O23" s="306">
        <v>30425</v>
      </c>
      <c r="P23" s="305">
        <f t="shared" si="3"/>
        <v>12</v>
      </c>
      <c r="Q23" s="305">
        <f t="shared" si="4"/>
        <v>35773</v>
      </c>
      <c r="R23" s="306">
        <v>35773</v>
      </c>
      <c r="S23" s="305">
        <f t="shared" si="5"/>
        <v>0</v>
      </c>
      <c r="T23" s="305">
        <f t="shared" si="6"/>
        <v>32690</v>
      </c>
      <c r="U23" s="306">
        <v>32690</v>
      </c>
      <c r="V23" s="305">
        <f t="shared" si="7"/>
        <v>0</v>
      </c>
      <c r="W23" s="307">
        <f t="shared" si="8"/>
        <v>21308</v>
      </c>
      <c r="X23" s="306">
        <v>21320</v>
      </c>
      <c r="Y23" s="305">
        <f t="shared" si="9"/>
        <v>12</v>
      </c>
      <c r="Z23" s="308">
        <f t="shared" si="10"/>
        <v>24</v>
      </c>
      <c r="AA23" s="126">
        <v>221</v>
      </c>
      <c r="AB23" s="126">
        <v>189</v>
      </c>
      <c r="AC23" s="696">
        <f>Gen!AS28</f>
        <v>1019.83</v>
      </c>
    </row>
    <row r="24" spans="1:29" ht="20.100000000000001" customHeight="1" x14ac:dyDescent="0.2">
      <c r="A24" s="689">
        <f>Gen!B29</f>
        <v>44154</v>
      </c>
      <c r="B24" s="684">
        <f>Gen!C29</f>
        <v>5.1999999999999998E-2</v>
      </c>
      <c r="C24" s="801">
        <v>24513.66</v>
      </c>
      <c r="D24" s="802">
        <v>21840.2</v>
      </c>
      <c r="E24" s="306"/>
      <c r="F24" s="306"/>
      <c r="G24" s="306">
        <v>78.05</v>
      </c>
      <c r="H24" s="306"/>
      <c r="I24" s="306">
        <v>31217.200000000001</v>
      </c>
      <c r="J24" s="685">
        <v>20756.900000000001</v>
      </c>
      <c r="K24" s="695">
        <f t="shared" si="0"/>
        <v>35391</v>
      </c>
      <c r="L24" s="306">
        <v>35391</v>
      </c>
      <c r="M24" s="305">
        <f t="shared" si="1"/>
        <v>0</v>
      </c>
      <c r="N24" s="307">
        <f t="shared" si="2"/>
        <v>30425</v>
      </c>
      <c r="O24" s="306">
        <v>30436</v>
      </c>
      <c r="P24" s="305">
        <f t="shared" si="3"/>
        <v>11</v>
      </c>
      <c r="Q24" s="305">
        <f t="shared" si="4"/>
        <v>35773</v>
      </c>
      <c r="R24" s="306">
        <v>35773</v>
      </c>
      <c r="S24" s="305">
        <f t="shared" si="5"/>
        <v>0</v>
      </c>
      <c r="T24" s="305">
        <f t="shared" si="6"/>
        <v>32690</v>
      </c>
      <c r="U24" s="306">
        <v>32703</v>
      </c>
      <c r="V24" s="305">
        <f t="shared" si="7"/>
        <v>13</v>
      </c>
      <c r="W24" s="307">
        <f t="shared" si="8"/>
        <v>21320</v>
      </c>
      <c r="X24" s="306">
        <v>21320</v>
      </c>
      <c r="Y24" s="305">
        <f t="shared" si="9"/>
        <v>0</v>
      </c>
      <c r="Z24" s="308">
        <f t="shared" si="10"/>
        <v>24</v>
      </c>
      <c r="AA24" s="126">
        <v>220</v>
      </c>
      <c r="AB24" s="126">
        <v>140</v>
      </c>
      <c r="AC24" s="696">
        <f>Gen!AS29</f>
        <v>1119.72</v>
      </c>
    </row>
    <row r="25" spans="1:29" ht="18.75" customHeight="1" x14ac:dyDescent="0.2">
      <c r="A25" s="689">
        <f>Gen!B30</f>
        <v>44155</v>
      </c>
      <c r="B25" s="684">
        <f>Gen!C30</f>
        <v>5.1999999999999998E-2</v>
      </c>
      <c r="C25" s="801">
        <v>23393.94</v>
      </c>
      <c r="D25" s="802">
        <v>21840.2</v>
      </c>
      <c r="E25" s="306"/>
      <c r="F25" s="306"/>
      <c r="G25" s="306"/>
      <c r="H25" s="306"/>
      <c r="I25" s="306">
        <v>31221.1</v>
      </c>
      <c r="J25" s="685">
        <v>20760.3</v>
      </c>
      <c r="K25" s="695">
        <f t="shared" si="0"/>
        <v>35391</v>
      </c>
      <c r="L25" s="306">
        <v>35391</v>
      </c>
      <c r="M25" s="305">
        <f t="shared" si="1"/>
        <v>0</v>
      </c>
      <c r="N25" s="307">
        <f t="shared" si="2"/>
        <v>30436</v>
      </c>
      <c r="O25" s="306">
        <v>30449</v>
      </c>
      <c r="P25" s="305">
        <f t="shared" si="3"/>
        <v>13</v>
      </c>
      <c r="Q25" s="305">
        <f t="shared" si="4"/>
        <v>35773</v>
      </c>
      <c r="R25" s="306">
        <v>35773</v>
      </c>
      <c r="S25" s="305">
        <f t="shared" si="5"/>
        <v>0</v>
      </c>
      <c r="T25" s="305">
        <f t="shared" si="6"/>
        <v>32703</v>
      </c>
      <c r="U25" s="306">
        <v>32703</v>
      </c>
      <c r="V25" s="305">
        <f t="shared" si="7"/>
        <v>0</v>
      </c>
      <c r="W25" s="307">
        <f t="shared" si="8"/>
        <v>21320</v>
      </c>
      <c r="X25" s="306">
        <v>21332</v>
      </c>
      <c r="Y25" s="305">
        <f t="shared" si="9"/>
        <v>12</v>
      </c>
      <c r="Z25" s="308">
        <f t="shared" si="10"/>
        <v>25</v>
      </c>
      <c r="AA25" s="126">
        <v>218</v>
      </c>
      <c r="AB25" s="126">
        <v>164</v>
      </c>
      <c r="AC25" s="696">
        <f>Gen!AS30</f>
        <v>1005.0600000000001</v>
      </c>
    </row>
    <row r="26" spans="1:29" ht="20.100000000000001" customHeight="1" x14ac:dyDescent="0.2">
      <c r="A26" s="689">
        <f>Gen!B31</f>
        <v>44156</v>
      </c>
      <c r="B26" s="684">
        <f>Gen!C31</f>
        <v>6.5000000000000002E-2</v>
      </c>
      <c r="C26" s="801">
        <v>22388.880000000001</v>
      </c>
      <c r="D26" s="802">
        <v>21840.2</v>
      </c>
      <c r="E26" s="306"/>
      <c r="F26" s="306"/>
      <c r="G26" s="306">
        <v>197.39</v>
      </c>
      <c r="H26" s="306"/>
      <c r="I26" s="306">
        <v>31225.1</v>
      </c>
      <c r="J26" s="685">
        <v>20763.8</v>
      </c>
      <c r="K26" s="695">
        <f t="shared" si="0"/>
        <v>35391</v>
      </c>
      <c r="L26" s="306">
        <v>35391</v>
      </c>
      <c r="M26" s="305">
        <f t="shared" si="1"/>
        <v>0</v>
      </c>
      <c r="N26" s="307">
        <f t="shared" si="2"/>
        <v>30449</v>
      </c>
      <c r="O26" s="306">
        <v>30449</v>
      </c>
      <c r="P26" s="305">
        <f t="shared" si="3"/>
        <v>0</v>
      </c>
      <c r="Q26" s="305">
        <f t="shared" si="4"/>
        <v>35773</v>
      </c>
      <c r="R26" s="306">
        <v>35787</v>
      </c>
      <c r="S26" s="305">
        <f t="shared" si="5"/>
        <v>14</v>
      </c>
      <c r="T26" s="305">
        <f t="shared" si="6"/>
        <v>32703</v>
      </c>
      <c r="U26" s="306">
        <v>32715</v>
      </c>
      <c r="V26" s="305">
        <f t="shared" si="7"/>
        <v>12</v>
      </c>
      <c r="W26" s="307">
        <f t="shared" si="8"/>
        <v>21332</v>
      </c>
      <c r="X26" s="306">
        <v>21332</v>
      </c>
      <c r="Y26" s="305">
        <f t="shared" si="9"/>
        <v>0</v>
      </c>
      <c r="Z26" s="308">
        <f t="shared" ref="Z26:Z37" si="11">Y26+V26+S26+P26+M26</f>
        <v>26</v>
      </c>
      <c r="AA26" s="126">
        <v>221</v>
      </c>
      <c r="AB26" s="126">
        <v>173</v>
      </c>
      <c r="AC26" s="696">
        <f>Gen!AS31</f>
        <v>1302.83</v>
      </c>
    </row>
    <row r="27" spans="1:29" ht="20.100000000000001" customHeight="1" x14ac:dyDescent="0.2">
      <c r="A27" s="689">
        <f>Gen!B32</f>
        <v>44157</v>
      </c>
      <c r="B27" s="684">
        <f>Gen!C32</f>
        <v>0.1</v>
      </c>
      <c r="C27" s="801">
        <v>21086.05</v>
      </c>
      <c r="D27" s="802">
        <v>21840.2</v>
      </c>
      <c r="E27" s="306"/>
      <c r="F27" s="306"/>
      <c r="G27" s="306">
        <v>9.15</v>
      </c>
      <c r="H27" s="306"/>
      <c r="I27" s="306">
        <v>31229</v>
      </c>
      <c r="J27" s="685">
        <v>20767</v>
      </c>
      <c r="K27" s="695">
        <f t="shared" si="0"/>
        <v>35391</v>
      </c>
      <c r="L27" s="306">
        <v>35391</v>
      </c>
      <c r="M27" s="305">
        <f t="shared" si="1"/>
        <v>0</v>
      </c>
      <c r="N27" s="307">
        <f t="shared" si="2"/>
        <v>30449</v>
      </c>
      <c r="O27" s="306">
        <v>30449</v>
      </c>
      <c r="P27" s="305">
        <f t="shared" si="3"/>
        <v>0</v>
      </c>
      <c r="Q27" s="305">
        <f t="shared" si="4"/>
        <v>35787</v>
      </c>
      <c r="R27" s="306">
        <v>35798</v>
      </c>
      <c r="S27" s="305">
        <f t="shared" si="5"/>
        <v>11</v>
      </c>
      <c r="T27" s="305">
        <f t="shared" si="6"/>
        <v>32715</v>
      </c>
      <c r="U27" s="306">
        <v>32728</v>
      </c>
      <c r="V27" s="305">
        <f t="shared" si="7"/>
        <v>13</v>
      </c>
      <c r="W27" s="307">
        <f t="shared" si="8"/>
        <v>21332</v>
      </c>
      <c r="X27" s="306">
        <v>21332</v>
      </c>
      <c r="Y27" s="305">
        <f t="shared" si="9"/>
        <v>0</v>
      </c>
      <c r="Z27" s="308">
        <f t="shared" si="11"/>
        <v>24</v>
      </c>
      <c r="AA27" s="126">
        <v>225</v>
      </c>
      <c r="AB27" s="126">
        <v>140</v>
      </c>
      <c r="AC27" s="696">
        <f>Gen!AS32</f>
        <v>1053.19</v>
      </c>
    </row>
    <row r="28" spans="1:29" ht="20.100000000000001" customHeight="1" x14ac:dyDescent="0.2">
      <c r="A28" s="689">
        <f>Gen!B33</f>
        <v>44158</v>
      </c>
      <c r="B28" s="684">
        <f>Gen!C33</f>
        <v>6.5000000000000002E-2</v>
      </c>
      <c r="C28" s="801">
        <v>20032.86</v>
      </c>
      <c r="D28" s="802">
        <v>21840.2</v>
      </c>
      <c r="E28" s="306"/>
      <c r="F28" s="306"/>
      <c r="G28" s="306"/>
      <c r="H28" s="306"/>
      <c r="I28" s="306">
        <v>31233.200000000001</v>
      </c>
      <c r="J28" s="685">
        <v>20770.2</v>
      </c>
      <c r="K28" s="695">
        <f t="shared" si="0"/>
        <v>35391</v>
      </c>
      <c r="L28" s="306">
        <v>35391</v>
      </c>
      <c r="M28" s="305">
        <f t="shared" si="1"/>
        <v>0</v>
      </c>
      <c r="N28" s="307">
        <f t="shared" si="2"/>
        <v>30449</v>
      </c>
      <c r="O28" s="306">
        <v>30449</v>
      </c>
      <c r="P28" s="305">
        <f t="shared" si="3"/>
        <v>0</v>
      </c>
      <c r="Q28" s="305">
        <f t="shared" si="4"/>
        <v>35798</v>
      </c>
      <c r="R28" s="306">
        <v>35798</v>
      </c>
      <c r="S28" s="305">
        <f t="shared" si="5"/>
        <v>0</v>
      </c>
      <c r="T28" s="305">
        <f t="shared" si="6"/>
        <v>32728</v>
      </c>
      <c r="U28" s="306">
        <v>32728</v>
      </c>
      <c r="V28" s="305">
        <f t="shared" si="7"/>
        <v>0</v>
      </c>
      <c r="W28" s="307">
        <f t="shared" si="8"/>
        <v>21332</v>
      </c>
      <c r="X28" s="306">
        <v>21356</v>
      </c>
      <c r="Y28" s="305">
        <f t="shared" si="9"/>
        <v>24</v>
      </c>
      <c r="Z28" s="308">
        <f t="shared" si="11"/>
        <v>24</v>
      </c>
      <c r="AA28" s="126">
        <v>200</v>
      </c>
      <c r="AB28" s="126">
        <v>161</v>
      </c>
      <c r="AC28" s="696">
        <f>Gen!AS33</f>
        <v>1074.8399999999999</v>
      </c>
    </row>
    <row r="29" spans="1:29" ht="20.100000000000001" customHeight="1" x14ac:dyDescent="0.2">
      <c r="A29" s="689">
        <f>Gen!B34</f>
        <v>44159</v>
      </c>
      <c r="B29" s="684">
        <f>Gen!C34</f>
        <v>6.5000000000000002E-2</v>
      </c>
      <c r="C29" s="801">
        <v>18958.02</v>
      </c>
      <c r="D29" s="802">
        <v>21840.2</v>
      </c>
      <c r="E29" s="306"/>
      <c r="F29" s="306"/>
      <c r="G29" s="306">
        <v>67</v>
      </c>
      <c r="H29" s="306"/>
      <c r="I29" s="306">
        <v>31236.799999999999</v>
      </c>
      <c r="J29" s="685">
        <v>20773.400000000001</v>
      </c>
      <c r="K29" s="695">
        <f t="shared" si="0"/>
        <v>35391</v>
      </c>
      <c r="L29" s="306">
        <v>35391</v>
      </c>
      <c r="M29" s="305">
        <f t="shared" si="1"/>
        <v>0</v>
      </c>
      <c r="N29" s="307">
        <f t="shared" si="2"/>
        <v>30449</v>
      </c>
      <c r="O29" s="306">
        <v>30449</v>
      </c>
      <c r="P29" s="305">
        <f t="shared" si="3"/>
        <v>0</v>
      </c>
      <c r="Q29" s="305">
        <f t="shared" si="4"/>
        <v>35798</v>
      </c>
      <c r="R29" s="306">
        <v>35822</v>
      </c>
      <c r="S29" s="305">
        <f t="shared" si="5"/>
        <v>24</v>
      </c>
      <c r="T29" s="305">
        <f t="shared" si="6"/>
        <v>32728</v>
      </c>
      <c r="U29" s="306">
        <v>32728</v>
      </c>
      <c r="V29" s="305">
        <f t="shared" si="7"/>
        <v>0</v>
      </c>
      <c r="W29" s="307">
        <f t="shared" si="8"/>
        <v>21356</v>
      </c>
      <c r="X29" s="306">
        <v>21356</v>
      </c>
      <c r="Y29" s="305">
        <f t="shared" si="9"/>
        <v>0</v>
      </c>
      <c r="Z29" s="308">
        <f t="shared" si="11"/>
        <v>24</v>
      </c>
      <c r="AA29" s="126">
        <v>210</v>
      </c>
      <c r="AB29" s="126">
        <v>140</v>
      </c>
      <c r="AC29" s="696">
        <f>Gen!AS34</f>
        <v>1086.27</v>
      </c>
    </row>
    <row r="30" spans="1:29" ht="20.100000000000001" customHeight="1" x14ac:dyDescent="0.2">
      <c r="A30" s="689">
        <f>Gen!B35</f>
        <v>44160</v>
      </c>
      <c r="B30" s="684">
        <f>Gen!C35</f>
        <v>3.9E-2</v>
      </c>
      <c r="C30" s="801">
        <v>17871.75</v>
      </c>
      <c r="D30" s="802">
        <v>21840.2</v>
      </c>
      <c r="E30" s="306"/>
      <c r="F30" s="306"/>
      <c r="G30" s="306">
        <v>20.32</v>
      </c>
      <c r="H30" s="306"/>
      <c r="I30" s="306">
        <v>31240.3</v>
      </c>
      <c r="J30" s="685">
        <v>20776.5</v>
      </c>
      <c r="K30" s="695">
        <f t="shared" si="0"/>
        <v>35391</v>
      </c>
      <c r="L30" s="306">
        <v>35391</v>
      </c>
      <c r="M30" s="305">
        <f t="shared" si="1"/>
        <v>0</v>
      </c>
      <c r="N30" s="307">
        <f t="shared" si="2"/>
        <v>30449</v>
      </c>
      <c r="O30" s="306">
        <v>30473</v>
      </c>
      <c r="P30" s="305">
        <f t="shared" si="3"/>
        <v>24</v>
      </c>
      <c r="Q30" s="305">
        <f t="shared" si="4"/>
        <v>35822</v>
      </c>
      <c r="R30" s="306">
        <v>35822</v>
      </c>
      <c r="S30" s="305">
        <f t="shared" si="5"/>
        <v>0</v>
      </c>
      <c r="T30" s="305">
        <f t="shared" si="6"/>
        <v>32728</v>
      </c>
      <c r="U30" s="306">
        <v>32728</v>
      </c>
      <c r="V30" s="305">
        <f t="shared" si="7"/>
        <v>0</v>
      </c>
      <c r="W30" s="307">
        <f t="shared" si="8"/>
        <v>21356</v>
      </c>
      <c r="X30" s="306">
        <v>21356</v>
      </c>
      <c r="Y30" s="305">
        <f t="shared" si="9"/>
        <v>0</v>
      </c>
      <c r="Z30" s="308">
        <f t="shared" si="11"/>
        <v>24</v>
      </c>
      <c r="AA30" s="126">
        <v>198</v>
      </c>
      <c r="AB30" s="126">
        <v>120</v>
      </c>
      <c r="AC30" s="696">
        <f>Gen!AS35</f>
        <v>999.34</v>
      </c>
    </row>
    <row r="31" spans="1:29" ht="20.100000000000001" customHeight="1" x14ac:dyDescent="0.2">
      <c r="A31" s="689">
        <f>Gen!B36</f>
        <v>44161</v>
      </c>
      <c r="B31" s="684">
        <f>Gen!C36</f>
        <v>1.2999999999999999E-2</v>
      </c>
      <c r="C31" s="801">
        <v>16872.41</v>
      </c>
      <c r="D31" s="802">
        <v>21840.2</v>
      </c>
      <c r="E31" s="306"/>
      <c r="F31" s="306"/>
      <c r="G31" s="306"/>
      <c r="H31" s="306"/>
      <c r="I31" s="306">
        <v>31243.9</v>
      </c>
      <c r="J31" s="685">
        <v>20779.400000000001</v>
      </c>
      <c r="K31" s="695">
        <f t="shared" si="0"/>
        <v>35391</v>
      </c>
      <c r="L31" s="306">
        <v>35391</v>
      </c>
      <c r="M31" s="305">
        <f t="shared" si="1"/>
        <v>0</v>
      </c>
      <c r="N31" s="307">
        <f t="shared" si="2"/>
        <v>30473</v>
      </c>
      <c r="O31" s="306">
        <v>30473</v>
      </c>
      <c r="P31" s="305">
        <f t="shared" si="3"/>
        <v>0</v>
      </c>
      <c r="Q31" s="305">
        <f t="shared" si="4"/>
        <v>35822</v>
      </c>
      <c r="R31" s="306">
        <v>35822</v>
      </c>
      <c r="S31" s="305">
        <f t="shared" si="5"/>
        <v>0</v>
      </c>
      <c r="T31" s="305">
        <f t="shared" si="6"/>
        <v>32728</v>
      </c>
      <c r="U31" s="306">
        <v>32728</v>
      </c>
      <c r="V31" s="305">
        <f t="shared" si="7"/>
        <v>0</v>
      </c>
      <c r="W31" s="307">
        <f t="shared" si="8"/>
        <v>21356</v>
      </c>
      <c r="X31" s="306">
        <v>21380</v>
      </c>
      <c r="Y31" s="305">
        <f t="shared" si="9"/>
        <v>24</v>
      </c>
      <c r="Z31" s="308">
        <f t="shared" si="11"/>
        <v>24</v>
      </c>
      <c r="AA31" s="126">
        <v>199</v>
      </c>
      <c r="AB31" s="126">
        <v>120</v>
      </c>
      <c r="AC31" s="696">
        <f>Gen!AS36</f>
        <v>928.16</v>
      </c>
    </row>
    <row r="32" spans="1:29" ht="20.100000000000001" customHeight="1" x14ac:dyDescent="0.2">
      <c r="A32" s="689">
        <f>Gen!B37</f>
        <v>44162</v>
      </c>
      <c r="B32" s="684">
        <f>Gen!C37</f>
        <v>0.01</v>
      </c>
      <c r="C32" s="801">
        <v>15944.25</v>
      </c>
      <c r="D32" s="802">
        <v>21840.2</v>
      </c>
      <c r="E32" s="306"/>
      <c r="F32" s="306"/>
      <c r="G32" s="306">
        <v>37.380000000000003</v>
      </c>
      <c r="H32" s="306"/>
      <c r="I32" s="306">
        <v>31247.599999999999</v>
      </c>
      <c r="J32" s="685">
        <v>20782.5</v>
      </c>
      <c r="K32" s="695">
        <f t="shared" si="0"/>
        <v>35391</v>
      </c>
      <c r="L32" s="306">
        <v>35391</v>
      </c>
      <c r="M32" s="305">
        <f t="shared" si="1"/>
        <v>0</v>
      </c>
      <c r="N32" s="307">
        <f t="shared" si="2"/>
        <v>30473</v>
      </c>
      <c r="O32" s="306">
        <v>30473</v>
      </c>
      <c r="P32" s="305">
        <f t="shared" si="3"/>
        <v>0</v>
      </c>
      <c r="Q32" s="305">
        <f t="shared" si="4"/>
        <v>35822</v>
      </c>
      <c r="R32" s="306">
        <v>35822</v>
      </c>
      <c r="S32" s="305">
        <f t="shared" si="5"/>
        <v>0</v>
      </c>
      <c r="T32" s="305">
        <f t="shared" si="6"/>
        <v>32728</v>
      </c>
      <c r="U32" s="306">
        <v>32753</v>
      </c>
      <c r="V32" s="305">
        <f t="shared" si="7"/>
        <v>25</v>
      </c>
      <c r="W32" s="307">
        <f t="shared" si="8"/>
        <v>21380</v>
      </c>
      <c r="X32" s="306">
        <v>21380</v>
      </c>
      <c r="Y32" s="305">
        <f t="shared" si="9"/>
        <v>0</v>
      </c>
      <c r="Z32" s="308">
        <f t="shared" si="11"/>
        <v>25</v>
      </c>
      <c r="AA32" s="126">
        <v>197</v>
      </c>
      <c r="AB32" s="126">
        <v>130</v>
      </c>
      <c r="AC32" s="696">
        <f>Gen!AS37</f>
        <v>1058.96</v>
      </c>
    </row>
    <row r="33" spans="1:29" ht="20.100000000000001" customHeight="1" x14ac:dyDescent="0.2">
      <c r="A33" s="689">
        <f>Gen!B38</f>
        <v>44163</v>
      </c>
      <c r="B33" s="684">
        <f>Gen!C38</f>
        <v>2.5999999999999999E-2</v>
      </c>
      <c r="C33" s="801">
        <v>14885.29</v>
      </c>
      <c r="D33" s="802">
        <v>21840.2</v>
      </c>
      <c r="E33" s="306"/>
      <c r="F33" s="306"/>
      <c r="G33" s="306"/>
      <c r="H33" s="306"/>
      <c r="I33" s="306">
        <v>31251.1</v>
      </c>
      <c r="J33" s="685">
        <v>20785.400000000001</v>
      </c>
      <c r="K33" s="695">
        <f t="shared" si="0"/>
        <v>35391</v>
      </c>
      <c r="L33" s="306">
        <v>35391</v>
      </c>
      <c r="M33" s="305">
        <f t="shared" si="1"/>
        <v>0</v>
      </c>
      <c r="N33" s="307">
        <f t="shared" si="2"/>
        <v>30473</v>
      </c>
      <c r="O33" s="306">
        <v>30480</v>
      </c>
      <c r="P33" s="305">
        <f t="shared" si="3"/>
        <v>7</v>
      </c>
      <c r="Q33" s="305">
        <f t="shared" si="4"/>
        <v>35822</v>
      </c>
      <c r="R33" s="306">
        <v>35840</v>
      </c>
      <c r="S33" s="305">
        <f t="shared" si="5"/>
        <v>18</v>
      </c>
      <c r="T33" s="305">
        <f t="shared" si="6"/>
        <v>32753</v>
      </c>
      <c r="U33" s="306">
        <v>32753</v>
      </c>
      <c r="V33" s="305">
        <f t="shared" si="7"/>
        <v>0</v>
      </c>
      <c r="W33" s="307">
        <f t="shared" si="8"/>
        <v>21380</v>
      </c>
      <c r="X33" s="306">
        <v>21380</v>
      </c>
      <c r="Y33" s="305">
        <f t="shared" si="9"/>
        <v>0</v>
      </c>
      <c r="Z33" s="308">
        <f t="shared" si="11"/>
        <v>25</v>
      </c>
      <c r="AA33" s="126">
        <v>198</v>
      </c>
      <c r="AB33" s="126">
        <v>125</v>
      </c>
      <c r="AC33" s="696">
        <f>Gen!AS38</f>
        <v>969.62</v>
      </c>
    </row>
    <row r="34" spans="1:29" ht="20.100000000000001" customHeight="1" x14ac:dyDescent="0.2">
      <c r="A34" s="689">
        <f>Gen!B39</f>
        <v>44164</v>
      </c>
      <c r="B34" s="684">
        <f>Gen!C39</f>
        <v>2.5999999999999999E-2</v>
      </c>
      <c r="C34" s="801">
        <v>13915.67</v>
      </c>
      <c r="D34" s="802">
        <v>21840.2</v>
      </c>
      <c r="E34" s="306"/>
      <c r="F34" s="306"/>
      <c r="G34" s="306">
        <v>38.6</v>
      </c>
      <c r="H34" s="306"/>
      <c r="I34" s="306">
        <v>31254.7</v>
      </c>
      <c r="J34" s="685">
        <v>20788.3</v>
      </c>
      <c r="K34" s="695">
        <f t="shared" si="0"/>
        <v>35391</v>
      </c>
      <c r="L34" s="306">
        <v>35391</v>
      </c>
      <c r="M34" s="305">
        <f t="shared" si="1"/>
        <v>0</v>
      </c>
      <c r="N34" s="307">
        <f t="shared" si="2"/>
        <v>30480</v>
      </c>
      <c r="O34" s="306">
        <v>30480</v>
      </c>
      <c r="P34" s="305">
        <f t="shared" si="3"/>
        <v>0</v>
      </c>
      <c r="Q34" s="305">
        <f t="shared" si="4"/>
        <v>35840</v>
      </c>
      <c r="R34" s="306">
        <v>35840</v>
      </c>
      <c r="S34" s="305">
        <f t="shared" si="5"/>
        <v>0</v>
      </c>
      <c r="T34" s="305">
        <f t="shared" si="6"/>
        <v>32753</v>
      </c>
      <c r="U34" s="306">
        <v>32753</v>
      </c>
      <c r="V34" s="305">
        <f t="shared" si="7"/>
        <v>0</v>
      </c>
      <c r="W34" s="307">
        <f t="shared" si="8"/>
        <v>21380</v>
      </c>
      <c r="X34" s="306">
        <v>21404</v>
      </c>
      <c r="Y34" s="305">
        <f t="shared" si="9"/>
        <v>24</v>
      </c>
      <c r="Z34" s="308">
        <f t="shared" si="11"/>
        <v>24</v>
      </c>
      <c r="AA34" s="126">
        <v>200</v>
      </c>
      <c r="AB34" s="126">
        <v>131</v>
      </c>
      <c r="AC34" s="696">
        <f>Gen!AS39</f>
        <v>997.97</v>
      </c>
    </row>
    <row r="35" spans="1:29" ht="20.100000000000001" customHeight="1" x14ac:dyDescent="0.2">
      <c r="A35" s="689">
        <f>Gen!B40</f>
        <v>44165</v>
      </c>
      <c r="B35" s="684">
        <f>Gen!C40</f>
        <v>3.9E-2</v>
      </c>
      <c r="C35" s="801">
        <v>12917.71</v>
      </c>
      <c r="D35" s="802">
        <v>21840.2</v>
      </c>
      <c r="E35" s="306"/>
      <c r="F35" s="306"/>
      <c r="G35" s="306">
        <v>318</v>
      </c>
      <c r="H35" s="306"/>
      <c r="I35" s="306">
        <v>31258.1</v>
      </c>
      <c r="J35" s="685">
        <v>20791.7</v>
      </c>
      <c r="K35" s="695">
        <f t="shared" si="0"/>
        <v>35391</v>
      </c>
      <c r="L35" s="306">
        <v>35391</v>
      </c>
      <c r="M35" s="305">
        <f t="shared" si="1"/>
        <v>0</v>
      </c>
      <c r="N35" s="307">
        <f t="shared" si="2"/>
        <v>30480</v>
      </c>
      <c r="O35" s="306">
        <v>30480</v>
      </c>
      <c r="P35" s="305">
        <f t="shared" si="3"/>
        <v>0</v>
      </c>
      <c r="Q35" s="305">
        <f t="shared" si="4"/>
        <v>35840</v>
      </c>
      <c r="R35" s="306">
        <v>35840</v>
      </c>
      <c r="S35" s="305">
        <f t="shared" si="5"/>
        <v>0</v>
      </c>
      <c r="T35" s="305">
        <f t="shared" si="6"/>
        <v>32753</v>
      </c>
      <c r="U35" s="306">
        <v>32777</v>
      </c>
      <c r="V35" s="305">
        <f t="shared" si="7"/>
        <v>24</v>
      </c>
      <c r="W35" s="307">
        <f t="shared" si="8"/>
        <v>21404</v>
      </c>
      <c r="X35" s="306">
        <v>21404</v>
      </c>
      <c r="Y35" s="305">
        <f t="shared" si="9"/>
        <v>0</v>
      </c>
      <c r="Z35" s="308">
        <f t="shared" si="11"/>
        <v>24</v>
      </c>
      <c r="AA35" s="126">
        <v>199</v>
      </c>
      <c r="AB35" s="126">
        <v>125</v>
      </c>
      <c r="AC35" s="696">
        <f>Gen!AS40</f>
        <v>1241.6799999999998</v>
      </c>
    </row>
    <row r="36" spans="1:29" ht="20.100000000000001" customHeight="1" thickBot="1" x14ac:dyDescent="0.25">
      <c r="A36" s="690">
        <f>Gen!B41</f>
        <v>44166</v>
      </c>
      <c r="B36" s="684">
        <f>Gen!C41</f>
        <v>0</v>
      </c>
      <c r="C36" s="801">
        <v>11686.02</v>
      </c>
      <c r="D36" s="802">
        <v>21840.2</v>
      </c>
      <c r="E36" s="306"/>
      <c r="F36" s="306"/>
      <c r="G36" s="306"/>
      <c r="H36" s="306"/>
      <c r="I36" s="306"/>
      <c r="J36" s="685"/>
      <c r="K36" s="695">
        <f t="shared" si="0"/>
        <v>35391</v>
      </c>
      <c r="L36" s="306"/>
      <c r="M36" s="305">
        <f t="shared" si="1"/>
        <v>-35391</v>
      </c>
      <c r="N36" s="307">
        <f t="shared" si="2"/>
        <v>30480</v>
      </c>
      <c r="O36" s="306"/>
      <c r="P36" s="305">
        <f t="shared" si="3"/>
        <v>-30480</v>
      </c>
      <c r="Q36" s="305">
        <f t="shared" si="4"/>
        <v>35840</v>
      </c>
      <c r="R36" s="306"/>
      <c r="S36" s="305">
        <f t="shared" si="5"/>
        <v>-35840</v>
      </c>
      <c r="T36" s="305">
        <f t="shared" si="6"/>
        <v>32777</v>
      </c>
      <c r="U36" s="306"/>
      <c r="V36" s="305">
        <f t="shared" si="7"/>
        <v>-32777</v>
      </c>
      <c r="W36" s="307">
        <f t="shared" si="8"/>
        <v>21404</v>
      </c>
      <c r="X36" s="306"/>
      <c r="Y36" s="305">
        <f t="shared" si="9"/>
        <v>-21404</v>
      </c>
      <c r="Z36" s="308">
        <f t="shared" si="11"/>
        <v>-155892</v>
      </c>
      <c r="AA36" s="126"/>
      <c r="AB36" s="126"/>
      <c r="AC36" s="696">
        <f>Gen!AS41</f>
        <v>0</v>
      </c>
    </row>
    <row r="37" spans="1:29" ht="21" customHeight="1" thickBot="1" x14ac:dyDescent="0.25">
      <c r="A37" s="690">
        <f>Gen!B42</f>
        <v>0</v>
      </c>
      <c r="B37" s="684">
        <f>Gen!C42</f>
        <v>0</v>
      </c>
      <c r="C37" s="686"/>
      <c r="D37" s="686"/>
      <c r="E37" s="686"/>
      <c r="F37" s="686"/>
      <c r="G37" s="686"/>
      <c r="H37" s="686"/>
      <c r="I37" s="686"/>
      <c r="J37" s="687"/>
      <c r="K37" s="697">
        <f t="shared" si="0"/>
        <v>0</v>
      </c>
      <c r="L37" s="686"/>
      <c r="M37" s="698">
        <f t="shared" si="1"/>
        <v>0</v>
      </c>
      <c r="N37" s="699">
        <f t="shared" si="2"/>
        <v>0</v>
      </c>
      <c r="O37" s="686"/>
      <c r="P37" s="698">
        <f t="shared" si="3"/>
        <v>0</v>
      </c>
      <c r="Q37" s="698">
        <f t="shared" si="4"/>
        <v>0</v>
      </c>
      <c r="R37" s="686"/>
      <c r="S37" s="698">
        <f t="shared" si="5"/>
        <v>0</v>
      </c>
      <c r="T37" s="698">
        <f t="shared" si="6"/>
        <v>0</v>
      </c>
      <c r="U37" s="686"/>
      <c r="V37" s="698">
        <f t="shared" si="7"/>
        <v>0</v>
      </c>
      <c r="W37" s="699">
        <f t="shared" si="8"/>
        <v>0</v>
      </c>
      <c r="X37" s="686"/>
      <c r="Y37" s="698">
        <f t="shared" si="9"/>
        <v>0</v>
      </c>
      <c r="Z37" s="700">
        <f t="shared" si="11"/>
        <v>0</v>
      </c>
      <c r="AA37" s="701"/>
      <c r="AB37" s="701"/>
      <c r="AC37" s="696">
        <f>Gen!AS42</f>
        <v>0</v>
      </c>
    </row>
    <row r="38" spans="1:29" x14ac:dyDescent="0.2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U98"/>
  <sheetViews>
    <sheetView topLeftCell="A7" workbookViewId="0">
      <pane xSplit="2" topLeftCell="C1" activePane="topRight" state="frozen"/>
      <selection pane="topRight" activeCell="U11" sqref="U11"/>
    </sheetView>
  </sheetViews>
  <sheetFormatPr defaultColWidth="9.140625" defaultRowHeight="11.25" x14ac:dyDescent="0.2"/>
  <cols>
    <col min="1" max="1" width="9.140625" style="181"/>
    <col min="2" max="2" width="9.85546875" style="803" customWidth="1"/>
    <col min="3" max="3" width="9.5703125" style="803" customWidth="1"/>
    <col min="4" max="4" width="9" style="803" customWidth="1"/>
    <col min="5" max="5" width="9.140625" style="803" customWidth="1"/>
    <col min="6" max="6" width="10.140625" style="803" customWidth="1"/>
    <col min="7" max="7" width="10.7109375" style="803" customWidth="1"/>
    <col min="8" max="8" width="11.28515625" style="803" customWidth="1"/>
    <col min="9" max="9" width="9.7109375" style="803" customWidth="1"/>
    <col min="10" max="10" width="8" style="803" customWidth="1"/>
    <col min="11" max="11" width="8.7109375" style="803" customWidth="1"/>
    <col min="12" max="12" width="8.28515625" style="803" customWidth="1"/>
    <col min="13" max="13" width="10.140625" style="803" customWidth="1"/>
    <col min="14" max="14" width="10.85546875" style="803" customWidth="1"/>
    <col min="15" max="15" width="11.42578125" style="803" customWidth="1"/>
    <col min="16" max="16" width="10.140625" style="803" customWidth="1"/>
    <col min="17" max="17" width="11.140625" style="803" customWidth="1"/>
    <col min="18" max="18" width="10.7109375" style="803" customWidth="1"/>
    <col min="19" max="19" width="13.140625" style="803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 x14ac:dyDescent="0.2">
      <c r="B1" s="904"/>
      <c r="C1" s="904"/>
    </row>
    <row r="2" spans="2:47" ht="26.25" x14ac:dyDescent="0.4">
      <c r="B2" s="904"/>
      <c r="C2" s="904"/>
      <c r="E2" s="905" t="s">
        <v>320</v>
      </c>
      <c r="F2" s="905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6"/>
      <c r="AN2" s="906"/>
      <c r="AO2" s="906"/>
      <c r="AP2" s="906"/>
      <c r="AQ2" s="906"/>
      <c r="AR2" s="906"/>
      <c r="AS2" s="906"/>
      <c r="AT2" s="906"/>
      <c r="AU2" s="906"/>
    </row>
    <row r="3" spans="2:47" ht="12.75" customHeight="1" x14ac:dyDescent="0.2">
      <c r="B3" s="904"/>
      <c r="C3" s="904"/>
      <c r="I3" s="907"/>
      <c r="J3" s="907"/>
      <c r="K3" s="907"/>
      <c r="L3" s="182"/>
      <c r="R3" s="182"/>
    </row>
    <row r="4" spans="2:47" ht="11.25" customHeight="1" x14ac:dyDescent="0.2">
      <c r="B4" s="904"/>
      <c r="C4" s="904"/>
      <c r="I4" s="907"/>
      <c r="J4" s="907"/>
      <c r="K4" s="907"/>
      <c r="L4" s="182"/>
      <c r="R4" s="182"/>
    </row>
    <row r="5" spans="2:47" ht="12" thickBot="1" x14ac:dyDescent="0.25">
      <c r="B5" s="904"/>
      <c r="C5" s="904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 x14ac:dyDescent="0.35">
      <c r="B6" s="904"/>
      <c r="C6" s="904"/>
      <c r="D6" s="187"/>
      <c r="G6" s="908" t="s">
        <v>57</v>
      </c>
      <c r="H6" s="909"/>
      <c r="I6" s="909"/>
      <c r="J6" s="909"/>
      <c r="K6" s="909"/>
      <c r="L6" s="909"/>
      <c r="M6" s="910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 x14ac:dyDescent="0.35">
      <c r="D7" s="189"/>
      <c r="E7" s="189"/>
      <c r="F7" s="189"/>
      <c r="G7" s="911" t="s">
        <v>201</v>
      </c>
      <c r="H7" s="912"/>
      <c r="I7" s="912"/>
      <c r="J7" s="912"/>
      <c r="K7" s="912"/>
      <c r="L7" s="912"/>
      <c r="M7" s="913"/>
      <c r="N7" s="914" t="s">
        <v>40</v>
      </c>
      <c r="O7" s="915"/>
      <c r="P7" s="915"/>
      <c r="Q7" s="915"/>
      <c r="R7" s="915"/>
      <c r="S7" s="916"/>
      <c r="T7" s="347"/>
      <c r="U7" s="348"/>
      <c r="V7" s="349"/>
      <c r="W7" s="350" t="s">
        <v>80</v>
      </c>
      <c r="X7" s="351" t="s">
        <v>80</v>
      </c>
      <c r="Y7" s="351" t="s">
        <v>5</v>
      </c>
      <c r="Z7" s="351" t="s">
        <v>81</v>
      </c>
      <c r="AA7" s="351" t="s">
        <v>83</v>
      </c>
      <c r="AB7" s="351" t="s">
        <v>82</v>
      </c>
      <c r="AC7" s="351" t="s">
        <v>82</v>
      </c>
      <c r="AD7" s="352" t="s">
        <v>199</v>
      </c>
      <c r="AE7" s="351" t="s">
        <v>30</v>
      </c>
      <c r="AF7" s="351" t="s">
        <v>97</v>
      </c>
      <c r="AG7" s="353" t="s">
        <v>22</v>
      </c>
      <c r="AH7" s="354" t="s">
        <v>29</v>
      </c>
      <c r="AI7" s="351" t="s">
        <v>84</v>
      </c>
      <c r="AJ7" s="355" t="s">
        <v>190</v>
      </c>
      <c r="AK7" s="366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 x14ac:dyDescent="0.35">
      <c r="B8" s="378" t="s">
        <v>0</v>
      </c>
      <c r="C8" s="379" t="s">
        <v>310</v>
      </c>
      <c r="D8" s="804" t="s">
        <v>2</v>
      </c>
      <c r="E8" s="805" t="s">
        <v>38</v>
      </c>
      <c r="F8" s="805" t="s">
        <v>96</v>
      </c>
      <c r="G8" s="806" t="s">
        <v>306</v>
      </c>
      <c r="H8" s="492">
        <v>1</v>
      </c>
      <c r="I8" s="372">
        <v>2</v>
      </c>
      <c r="J8" s="372">
        <v>3</v>
      </c>
      <c r="K8" s="372">
        <v>4</v>
      </c>
      <c r="L8" s="372">
        <v>5</v>
      </c>
      <c r="M8" s="373">
        <v>6</v>
      </c>
      <c r="N8" s="374">
        <v>1</v>
      </c>
      <c r="O8" s="375">
        <v>2</v>
      </c>
      <c r="P8" s="375">
        <v>3</v>
      </c>
      <c r="Q8" s="375">
        <v>4</v>
      </c>
      <c r="R8" s="375">
        <v>5</v>
      </c>
      <c r="S8" s="375">
        <v>6</v>
      </c>
      <c r="T8" s="376" t="s">
        <v>39</v>
      </c>
      <c r="U8" s="376" t="s">
        <v>41</v>
      </c>
      <c r="V8" s="377" t="s">
        <v>198</v>
      </c>
      <c r="W8" s="357" t="s">
        <v>33</v>
      </c>
      <c r="X8" s="358" t="s">
        <v>32</v>
      </c>
      <c r="Y8" s="358" t="s">
        <v>35</v>
      </c>
      <c r="Z8" s="359" t="s">
        <v>208</v>
      </c>
      <c r="AA8" s="359" t="s">
        <v>207</v>
      </c>
      <c r="AB8" s="359" t="s">
        <v>209</v>
      </c>
      <c r="AC8" s="358" t="s">
        <v>311</v>
      </c>
      <c r="AD8" s="360" t="s">
        <v>34</v>
      </c>
      <c r="AE8" s="358" t="s">
        <v>31</v>
      </c>
      <c r="AF8" s="358" t="s">
        <v>210</v>
      </c>
      <c r="AG8" s="358" t="s">
        <v>211</v>
      </c>
      <c r="AH8" s="361" t="s">
        <v>85</v>
      </c>
      <c r="AI8" s="362" t="s">
        <v>28</v>
      </c>
      <c r="AJ8" s="363" t="s">
        <v>28</v>
      </c>
      <c r="AK8" s="365"/>
      <c r="AL8" s="273"/>
      <c r="AM8" s="52"/>
      <c r="AN8" s="52"/>
      <c r="AO8" s="52"/>
      <c r="AP8" s="52"/>
      <c r="AQ8" s="193"/>
      <c r="AR8" s="368"/>
      <c r="AS8" s="369" t="s">
        <v>200</v>
      </c>
      <c r="AT8" s="369" t="s">
        <v>43</v>
      </c>
      <c r="AU8" s="368" t="s">
        <v>3</v>
      </c>
    </row>
    <row r="9" spans="2:47" ht="14.25" x14ac:dyDescent="0.3">
      <c r="B9" s="493"/>
      <c r="C9" s="195"/>
      <c r="D9" s="807">
        <v>32519.1</v>
      </c>
      <c r="E9" s="808"/>
      <c r="F9" s="809"/>
      <c r="G9" s="810"/>
      <c r="H9" s="811"/>
      <c r="I9" s="554"/>
      <c r="J9" s="555"/>
      <c r="K9" s="556"/>
      <c r="L9" s="557"/>
      <c r="M9" s="558"/>
      <c r="N9" s="370"/>
      <c r="O9" s="371"/>
      <c r="P9" s="371"/>
      <c r="Q9" s="371"/>
      <c r="R9" s="371"/>
      <c r="S9" s="561"/>
      <c r="T9" s="567">
        <f t="shared" ref="T9:T44" si="0">SUM(G9:M9)</f>
        <v>0</v>
      </c>
      <c r="U9" s="568">
        <f t="shared" ref="U9:U43" si="1">SUM(N9:S9)</f>
        <v>0</v>
      </c>
      <c r="V9" s="569"/>
      <c r="W9" s="565"/>
      <c r="X9" s="199"/>
      <c r="Y9" s="356"/>
      <c r="Z9" s="356"/>
      <c r="AA9" s="356"/>
      <c r="AB9" s="199"/>
      <c r="AC9" s="197"/>
      <c r="AD9" s="199"/>
      <c r="AE9" s="200"/>
      <c r="AF9" s="200"/>
      <c r="AG9" s="201"/>
      <c r="AH9" s="197"/>
      <c r="AI9" s="199"/>
      <c r="AJ9" s="384"/>
      <c r="AK9" s="364"/>
      <c r="AL9" s="202"/>
      <c r="AM9" s="202"/>
      <c r="AN9" s="202"/>
      <c r="AO9" s="202"/>
      <c r="AP9" s="202"/>
      <c r="AQ9" s="202"/>
      <c r="AR9" s="202"/>
      <c r="AS9" s="367">
        <f t="shared" ref="AS9:AS43" si="2">SUM(AK9+T9)</f>
        <v>0</v>
      </c>
      <c r="AT9" s="203"/>
      <c r="AU9" s="204">
        <v>38784.699999999997</v>
      </c>
    </row>
    <row r="10" spans="2:47" ht="13.5" customHeight="1" x14ac:dyDescent="0.3">
      <c r="B10" s="494"/>
      <c r="C10" s="574"/>
      <c r="D10" s="812"/>
      <c r="E10" s="813"/>
      <c r="F10" s="814"/>
      <c r="G10" s="300"/>
      <c r="H10" s="815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62"/>
      <c r="T10" s="570">
        <f t="shared" si="0"/>
        <v>0</v>
      </c>
      <c r="U10" s="219">
        <f t="shared" si="1"/>
        <v>0</v>
      </c>
      <c r="V10" s="571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84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 x14ac:dyDescent="0.3">
      <c r="B11" s="577">
        <v>44136</v>
      </c>
      <c r="C11" s="860">
        <v>2.5999999999999999E-2</v>
      </c>
      <c r="D11" s="816">
        <f>SUM(D9+E11)</f>
        <v>32519.1</v>
      </c>
      <c r="E11" s="817"/>
      <c r="F11" s="814"/>
      <c r="G11" s="300"/>
      <c r="H11" s="815">
        <v>432.45</v>
      </c>
      <c r="I11" s="205"/>
      <c r="J11" s="206"/>
      <c r="K11" s="205"/>
      <c r="L11" s="205"/>
      <c r="M11" s="300">
        <v>523.6</v>
      </c>
      <c r="N11" s="207">
        <v>1083</v>
      </c>
      <c r="O11" s="208"/>
      <c r="P11" s="207"/>
      <c r="Q11" s="207"/>
      <c r="R11" s="207"/>
      <c r="S11" s="562">
        <v>1332</v>
      </c>
      <c r="T11" s="570">
        <f t="shared" si="0"/>
        <v>956.05</v>
      </c>
      <c r="U11" s="219">
        <f t="shared" si="1"/>
        <v>2415</v>
      </c>
      <c r="V11" s="571">
        <f t="shared" ref="V11:V41" si="4">T11/U11</f>
        <v>0.39587991718426502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84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956.05</v>
      </c>
      <c r="AT11" s="222">
        <f>AS11*AV11</f>
        <v>0</v>
      </c>
      <c r="AU11" s="284">
        <f t="shared" ref="AU11:AU43" si="5">D11</f>
        <v>32519.1</v>
      </c>
    </row>
    <row r="12" spans="2:47" ht="13.5" customHeight="1" x14ac:dyDescent="0.3">
      <c r="B12" s="577">
        <v>44137</v>
      </c>
      <c r="C12" s="860">
        <v>5.1900000000000002E-2</v>
      </c>
      <c r="D12" s="816">
        <f t="shared" ref="D12:D43" si="6">SUM(D11-AS11+E12)</f>
        <v>31563.05</v>
      </c>
      <c r="E12" s="817"/>
      <c r="F12" s="814"/>
      <c r="G12" s="525"/>
      <c r="H12" s="815">
        <v>443.5</v>
      </c>
      <c r="I12" s="205"/>
      <c r="J12" s="224"/>
      <c r="K12" s="205"/>
      <c r="L12" s="205">
        <v>664.42</v>
      </c>
      <c r="M12" s="300"/>
      <c r="N12" s="299">
        <v>1069</v>
      </c>
      <c r="O12" s="207"/>
      <c r="P12" s="207"/>
      <c r="Q12" s="207"/>
      <c r="R12" s="207">
        <v>1548</v>
      </c>
      <c r="S12" s="562"/>
      <c r="T12" s="570">
        <f t="shared" si="0"/>
        <v>1107.92</v>
      </c>
      <c r="U12" s="219">
        <f t="shared" si="1"/>
        <v>2617</v>
      </c>
      <c r="V12" s="571">
        <f t="shared" si="4"/>
        <v>0.42335498662590754</v>
      </c>
      <c r="W12" s="212"/>
      <c r="X12" s="220">
        <v>21.62</v>
      </c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84"/>
      <c r="AK12" s="272">
        <f t="shared" si="3"/>
        <v>21.62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1129.54</v>
      </c>
      <c r="AT12" s="222">
        <f t="shared" ref="AT12:AT44" si="7">AS12*AV12</f>
        <v>0</v>
      </c>
      <c r="AU12" s="284">
        <f t="shared" si="5"/>
        <v>31563.05</v>
      </c>
    </row>
    <row r="13" spans="2:47" ht="13.5" customHeight="1" x14ac:dyDescent="0.3">
      <c r="B13" s="577">
        <v>44138</v>
      </c>
      <c r="C13" s="860">
        <v>7.7899999999999997E-2</v>
      </c>
      <c r="D13" s="816">
        <f t="shared" si="6"/>
        <v>30433.51</v>
      </c>
      <c r="E13" s="817"/>
      <c r="F13" s="814"/>
      <c r="G13" s="818"/>
      <c r="H13" s="815"/>
      <c r="I13" s="205">
        <v>578.92999999999995</v>
      </c>
      <c r="J13" s="224"/>
      <c r="K13" s="205"/>
      <c r="L13" s="205"/>
      <c r="M13" s="300">
        <v>586.05999999999995</v>
      </c>
      <c r="N13" s="299"/>
      <c r="O13" s="207">
        <v>1213</v>
      </c>
      <c r="P13" s="207"/>
      <c r="Q13" s="207"/>
      <c r="R13" s="207"/>
      <c r="S13" s="562">
        <v>1379</v>
      </c>
      <c r="T13" s="570">
        <f t="shared" si="0"/>
        <v>1164.9899999999998</v>
      </c>
      <c r="U13" s="219">
        <f t="shared" si="1"/>
        <v>2592</v>
      </c>
      <c r="V13" s="571">
        <f t="shared" si="4"/>
        <v>0.44945601851851841</v>
      </c>
      <c r="W13" s="212"/>
      <c r="X13" s="220"/>
      <c r="Y13" s="198">
        <v>23.27</v>
      </c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84">
        <v>15</v>
      </c>
      <c r="AK13" s="272">
        <f t="shared" si="3"/>
        <v>38.269999999999996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1203.2599999999998</v>
      </c>
      <c r="AT13" s="222">
        <f t="shared" si="7"/>
        <v>0</v>
      </c>
      <c r="AU13" s="284">
        <f t="shared" si="5"/>
        <v>30433.51</v>
      </c>
    </row>
    <row r="14" spans="2:47" ht="13.5" customHeight="1" x14ac:dyDescent="0.3">
      <c r="B14" s="577">
        <v>44139</v>
      </c>
      <c r="C14" s="860">
        <v>6.4899999999999999E-2</v>
      </c>
      <c r="D14" s="816">
        <f t="shared" si="6"/>
        <v>47230.25</v>
      </c>
      <c r="E14" s="817">
        <v>18000</v>
      </c>
      <c r="F14" s="814">
        <v>18000</v>
      </c>
      <c r="G14" s="837" t="s">
        <v>319</v>
      </c>
      <c r="H14" s="815"/>
      <c r="I14" s="205">
        <v>410.01</v>
      </c>
      <c r="J14" s="224"/>
      <c r="K14" s="205"/>
      <c r="L14" s="205">
        <v>636.34</v>
      </c>
      <c r="M14" s="300"/>
      <c r="N14" s="299"/>
      <c r="O14" s="207">
        <v>1191</v>
      </c>
      <c r="P14" s="207"/>
      <c r="Q14" s="207"/>
      <c r="R14" s="207">
        <v>1464</v>
      </c>
      <c r="S14" s="562"/>
      <c r="T14" s="570">
        <f t="shared" si="0"/>
        <v>1046.3499999999999</v>
      </c>
      <c r="U14" s="219">
        <f t="shared" si="1"/>
        <v>2655</v>
      </c>
      <c r="V14" s="571">
        <f t="shared" si="4"/>
        <v>0.39410546139359698</v>
      </c>
      <c r="W14" s="212"/>
      <c r="X14" s="220">
        <v>51.1</v>
      </c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84"/>
      <c r="AK14" s="272">
        <f t="shared" si="3"/>
        <v>51.1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1097.4499999999998</v>
      </c>
      <c r="AT14" s="222">
        <f t="shared" si="7"/>
        <v>0</v>
      </c>
      <c r="AU14" s="284">
        <f t="shared" si="5"/>
        <v>47230.25</v>
      </c>
    </row>
    <row r="15" spans="2:47" ht="13.5" customHeight="1" x14ac:dyDescent="0.3">
      <c r="B15" s="577">
        <v>44140</v>
      </c>
      <c r="C15" s="860">
        <v>2.5999999999999999E-2</v>
      </c>
      <c r="D15" s="816">
        <f t="shared" si="6"/>
        <v>46132.800000000003</v>
      </c>
      <c r="E15" s="817"/>
      <c r="F15" s="814"/>
      <c r="G15" s="818"/>
      <c r="H15" s="815"/>
      <c r="I15" s="205"/>
      <c r="J15" s="224"/>
      <c r="K15" s="205">
        <v>270.39999999999998</v>
      </c>
      <c r="L15" s="205">
        <v>787.8</v>
      </c>
      <c r="M15" s="300"/>
      <c r="N15" s="299"/>
      <c r="O15" s="207"/>
      <c r="P15" s="207"/>
      <c r="Q15" s="207">
        <v>705</v>
      </c>
      <c r="R15" s="207">
        <v>1890</v>
      </c>
      <c r="S15" s="562"/>
      <c r="T15" s="570">
        <f t="shared" si="0"/>
        <v>1058.1999999999998</v>
      </c>
      <c r="U15" s="219">
        <f t="shared" si="1"/>
        <v>2595</v>
      </c>
      <c r="V15" s="571">
        <f t="shared" si="4"/>
        <v>0.4077842003853564</v>
      </c>
      <c r="W15" s="212"/>
      <c r="X15" s="220"/>
      <c r="Y15" s="198">
        <v>11.15</v>
      </c>
      <c r="Z15" s="220"/>
      <c r="AA15" s="205"/>
      <c r="AB15" s="274"/>
      <c r="AC15" s="220"/>
      <c r="AD15" s="220"/>
      <c r="AE15" s="220"/>
      <c r="AF15" s="220"/>
      <c r="AG15" s="220"/>
      <c r="AH15" s="220"/>
      <c r="AI15" s="220">
        <v>49</v>
      </c>
      <c r="AJ15" s="384"/>
      <c r="AK15" s="272">
        <f t="shared" si="3"/>
        <v>60.15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1118.3499999999999</v>
      </c>
      <c r="AT15" s="222">
        <f t="shared" si="7"/>
        <v>0</v>
      </c>
      <c r="AU15" s="284">
        <f t="shared" si="5"/>
        <v>46132.800000000003</v>
      </c>
    </row>
    <row r="16" spans="2:47" ht="13.5" customHeight="1" x14ac:dyDescent="0.3">
      <c r="B16" s="577">
        <v>44141</v>
      </c>
      <c r="C16" s="860">
        <v>6.4899999999999999E-2</v>
      </c>
      <c r="D16" s="816">
        <f t="shared" si="6"/>
        <v>45014.450000000004</v>
      </c>
      <c r="E16" s="817"/>
      <c r="F16" s="814"/>
      <c r="G16" s="818"/>
      <c r="H16" s="815"/>
      <c r="I16" s="205">
        <v>449.26</v>
      </c>
      <c r="J16" s="224"/>
      <c r="K16" s="205"/>
      <c r="L16" s="205"/>
      <c r="M16" s="300">
        <v>540.55999999999995</v>
      </c>
      <c r="N16" s="299"/>
      <c r="O16" s="207">
        <v>906</v>
      </c>
      <c r="P16" s="207"/>
      <c r="Q16" s="207"/>
      <c r="R16" s="207"/>
      <c r="S16" s="562">
        <v>1311</v>
      </c>
      <c r="T16" s="570">
        <f t="shared" si="0"/>
        <v>989.81999999999994</v>
      </c>
      <c r="U16" s="219">
        <f t="shared" si="1"/>
        <v>2217</v>
      </c>
      <c r="V16" s="571">
        <f t="shared" si="4"/>
        <v>0.44646820027063594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>
        <v>92</v>
      </c>
      <c r="AJ16" s="384"/>
      <c r="AK16" s="272">
        <f t="shared" si="3"/>
        <v>92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1081.82</v>
      </c>
      <c r="AT16" s="222">
        <f t="shared" si="7"/>
        <v>0</v>
      </c>
      <c r="AU16" s="284">
        <f t="shared" si="5"/>
        <v>45014.450000000004</v>
      </c>
    </row>
    <row r="17" spans="2:47" ht="13.5" customHeight="1" x14ac:dyDescent="0.3">
      <c r="B17" s="577">
        <v>44142</v>
      </c>
      <c r="C17" s="860">
        <v>5.1900000000000002E-2</v>
      </c>
      <c r="D17" s="816">
        <f t="shared" si="6"/>
        <v>43932.630000000005</v>
      </c>
      <c r="E17" s="817"/>
      <c r="F17" s="814"/>
      <c r="G17" s="818"/>
      <c r="H17" s="815"/>
      <c r="I17" s="205">
        <v>401.96</v>
      </c>
      <c r="J17" s="224"/>
      <c r="K17" s="205"/>
      <c r="L17" s="205">
        <v>550.59</v>
      </c>
      <c r="M17" s="300"/>
      <c r="N17" s="299"/>
      <c r="O17" s="207">
        <v>1177</v>
      </c>
      <c r="P17" s="207"/>
      <c r="Q17" s="207"/>
      <c r="R17" s="207">
        <v>1302</v>
      </c>
      <c r="S17" s="562"/>
      <c r="T17" s="570">
        <f t="shared" si="0"/>
        <v>952.55</v>
      </c>
      <c r="U17" s="219">
        <f t="shared" si="1"/>
        <v>2479</v>
      </c>
      <c r="V17" s="571">
        <f t="shared" si="4"/>
        <v>0.38424768051633723</v>
      </c>
      <c r="W17" s="212"/>
      <c r="X17" s="220"/>
      <c r="Y17" s="198">
        <v>8.4</v>
      </c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84"/>
      <c r="AK17" s="272">
        <f t="shared" si="3"/>
        <v>8.4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960.94999999999993</v>
      </c>
      <c r="AT17" s="222">
        <f t="shared" si="7"/>
        <v>0</v>
      </c>
      <c r="AU17" s="284">
        <f t="shared" si="5"/>
        <v>43932.630000000005</v>
      </c>
    </row>
    <row r="18" spans="2:47" ht="13.5" customHeight="1" x14ac:dyDescent="0.3">
      <c r="B18" s="577">
        <v>44143</v>
      </c>
      <c r="C18" s="860">
        <v>0</v>
      </c>
      <c r="D18" s="816">
        <f t="shared" si="6"/>
        <v>42971.680000000008</v>
      </c>
      <c r="E18" s="817"/>
      <c r="F18" s="814"/>
      <c r="G18" s="818"/>
      <c r="H18" s="815"/>
      <c r="I18" s="205"/>
      <c r="J18" s="224"/>
      <c r="K18" s="205">
        <v>389.57</v>
      </c>
      <c r="L18" s="205"/>
      <c r="M18" s="300">
        <v>634.99</v>
      </c>
      <c r="N18" s="299"/>
      <c r="O18" s="207"/>
      <c r="P18" s="207"/>
      <c r="Q18" s="207">
        <v>823</v>
      </c>
      <c r="R18" s="207"/>
      <c r="S18" s="562">
        <v>1518</v>
      </c>
      <c r="T18" s="570">
        <f t="shared" si="0"/>
        <v>1024.56</v>
      </c>
      <c r="U18" s="219">
        <f t="shared" si="1"/>
        <v>2341</v>
      </c>
      <c r="V18" s="571">
        <f t="shared" si="4"/>
        <v>0.4376591200341734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/>
      <c r="AJ18" s="384"/>
      <c r="AK18" s="272">
        <f t="shared" si="3"/>
        <v>0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1024.56</v>
      </c>
      <c r="AT18" s="222">
        <f t="shared" si="7"/>
        <v>0</v>
      </c>
      <c r="AU18" s="284">
        <f t="shared" si="5"/>
        <v>42971.680000000008</v>
      </c>
    </row>
    <row r="19" spans="2:47" ht="13.5" customHeight="1" x14ac:dyDescent="0.3">
      <c r="B19" s="577">
        <v>44144</v>
      </c>
      <c r="C19" s="860">
        <v>1.2999999999999999E-2</v>
      </c>
      <c r="D19" s="816">
        <f t="shared" si="6"/>
        <v>41947.12000000001</v>
      </c>
      <c r="E19" s="817"/>
      <c r="F19" s="814"/>
      <c r="G19" s="818"/>
      <c r="H19" s="815"/>
      <c r="I19" s="205">
        <v>556.63</v>
      </c>
      <c r="J19" s="224"/>
      <c r="K19" s="205"/>
      <c r="L19" s="205">
        <v>491.22</v>
      </c>
      <c r="M19" s="300"/>
      <c r="N19" s="299"/>
      <c r="O19" s="207">
        <v>1188</v>
      </c>
      <c r="P19" s="207"/>
      <c r="Q19" s="207"/>
      <c r="R19" s="207">
        <v>1172</v>
      </c>
      <c r="S19" s="562"/>
      <c r="T19" s="570">
        <f t="shared" si="0"/>
        <v>1047.8499999999999</v>
      </c>
      <c r="U19" s="219">
        <f t="shared" si="1"/>
        <v>2360</v>
      </c>
      <c r="V19" s="571">
        <f t="shared" si="4"/>
        <v>0.44400423728813554</v>
      </c>
      <c r="W19" s="212"/>
      <c r="X19" s="220">
        <v>44.3</v>
      </c>
      <c r="Y19" s="198"/>
      <c r="Z19" s="220"/>
      <c r="AA19" s="205"/>
      <c r="AB19" s="274"/>
      <c r="AC19" s="220"/>
      <c r="AD19" s="220"/>
      <c r="AE19" s="220"/>
      <c r="AF19" s="220"/>
      <c r="AG19" s="220"/>
      <c r="AH19" s="220"/>
      <c r="AI19" s="220"/>
      <c r="AJ19" s="384"/>
      <c r="AK19" s="272">
        <f t="shared" si="3"/>
        <v>44.3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1092.1499999999999</v>
      </c>
      <c r="AT19" s="222">
        <f t="shared" si="7"/>
        <v>0</v>
      </c>
      <c r="AU19" s="284">
        <f t="shared" si="5"/>
        <v>41947.12000000001</v>
      </c>
    </row>
    <row r="20" spans="2:47" ht="15.75" x14ac:dyDescent="0.3">
      <c r="B20" s="577">
        <v>44145</v>
      </c>
      <c r="C20" s="860">
        <v>3.9E-2</v>
      </c>
      <c r="D20" s="816">
        <f t="shared" si="6"/>
        <v>40854.970000000008</v>
      </c>
      <c r="E20" s="817"/>
      <c r="F20" s="814"/>
      <c r="G20" s="818"/>
      <c r="H20" s="819"/>
      <c r="I20" s="220">
        <v>386.94</v>
      </c>
      <c r="J20" s="224"/>
      <c r="K20" s="205"/>
      <c r="L20" s="205"/>
      <c r="M20" s="525">
        <v>546.30999999999995</v>
      </c>
      <c r="N20" s="299"/>
      <c r="O20" s="207">
        <v>1114</v>
      </c>
      <c r="P20" s="207"/>
      <c r="Q20" s="207"/>
      <c r="R20" s="207"/>
      <c r="S20" s="563">
        <v>1209</v>
      </c>
      <c r="T20" s="570">
        <f t="shared" si="0"/>
        <v>933.25</v>
      </c>
      <c r="U20" s="219">
        <f t="shared" si="1"/>
        <v>2323</v>
      </c>
      <c r="V20" s="571">
        <f t="shared" si="4"/>
        <v>0.40174343521308653</v>
      </c>
      <c r="W20" s="212"/>
      <c r="X20" s="220"/>
      <c r="Y20" s="198"/>
      <c r="Z20" s="220"/>
      <c r="AA20" s="205"/>
      <c r="AB20" s="274"/>
      <c r="AC20" s="220"/>
      <c r="AD20" s="220"/>
      <c r="AE20" s="220">
        <v>48.74</v>
      </c>
      <c r="AF20" s="220"/>
      <c r="AG20" s="220"/>
      <c r="AH20" s="220"/>
      <c r="AI20" s="220"/>
      <c r="AJ20" s="384"/>
      <c r="AK20" s="272">
        <f t="shared" si="3"/>
        <v>48.74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981.99</v>
      </c>
      <c r="AT20" s="222">
        <f t="shared" si="7"/>
        <v>0</v>
      </c>
      <c r="AU20" s="284">
        <f t="shared" si="5"/>
        <v>40854.970000000008</v>
      </c>
    </row>
    <row r="21" spans="2:47" ht="15.75" x14ac:dyDescent="0.3">
      <c r="B21" s="577">
        <v>44146</v>
      </c>
      <c r="C21" s="860">
        <v>6.4899999999999999E-2</v>
      </c>
      <c r="D21" s="816">
        <f t="shared" si="6"/>
        <v>39872.98000000001</v>
      </c>
      <c r="E21" s="817"/>
      <c r="F21" s="814"/>
      <c r="G21" s="818"/>
      <c r="H21" s="819"/>
      <c r="I21" s="220"/>
      <c r="J21" s="224"/>
      <c r="K21" s="205"/>
      <c r="L21" s="205">
        <v>487.43</v>
      </c>
      <c r="M21" s="495">
        <v>454.8</v>
      </c>
      <c r="N21" s="299"/>
      <c r="O21" s="299"/>
      <c r="P21" s="207"/>
      <c r="Q21" s="207"/>
      <c r="R21" s="207">
        <v>1095</v>
      </c>
      <c r="S21" s="562">
        <v>1188</v>
      </c>
      <c r="T21" s="570">
        <f t="shared" si="0"/>
        <v>942.23</v>
      </c>
      <c r="U21" s="219">
        <f t="shared" si="1"/>
        <v>2283</v>
      </c>
      <c r="V21" s="571">
        <f t="shared" si="4"/>
        <v>0.41271572492334646</v>
      </c>
      <c r="W21" s="212"/>
      <c r="X21" s="220"/>
      <c r="Y21" s="198">
        <v>24.05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84"/>
      <c r="AK21" s="272">
        <f t="shared" si="3"/>
        <v>24.05</v>
      </c>
      <c r="AL21" s="214"/>
      <c r="AM21" s="215"/>
      <c r="AN21" s="221"/>
      <c r="AO21" s="226"/>
      <c r="AP21" s="226"/>
      <c r="AQ21" s="226"/>
      <c r="AR21" s="227"/>
      <c r="AS21" s="216">
        <f>SUM(AK21+T21)</f>
        <v>966.28</v>
      </c>
      <c r="AT21" s="222">
        <f t="shared" si="7"/>
        <v>0</v>
      </c>
      <c r="AU21" s="284">
        <f t="shared" si="5"/>
        <v>39872.98000000001</v>
      </c>
    </row>
    <row r="22" spans="2:47" ht="15.75" x14ac:dyDescent="0.3">
      <c r="B22" s="577">
        <v>44147</v>
      </c>
      <c r="C22" s="860">
        <v>0.05</v>
      </c>
      <c r="D22" s="816">
        <f t="shared" si="6"/>
        <v>38906.700000000012</v>
      </c>
      <c r="E22" s="817"/>
      <c r="F22" s="814"/>
      <c r="G22" s="819"/>
      <c r="H22" s="815"/>
      <c r="I22" s="205">
        <v>550.39</v>
      </c>
      <c r="J22" s="224"/>
      <c r="K22" s="205"/>
      <c r="L22" s="205"/>
      <c r="M22" s="525">
        <v>532.57000000000005</v>
      </c>
      <c r="N22" s="299"/>
      <c r="O22" s="299">
        <v>1131</v>
      </c>
      <c r="P22" s="207"/>
      <c r="Q22" s="207"/>
      <c r="R22" s="207"/>
      <c r="S22" s="562">
        <v>1197</v>
      </c>
      <c r="T22" s="570">
        <f t="shared" si="0"/>
        <v>1082.96</v>
      </c>
      <c r="U22" s="219">
        <f t="shared" si="1"/>
        <v>2328</v>
      </c>
      <c r="V22" s="571">
        <f t="shared" si="4"/>
        <v>0.46518900343642611</v>
      </c>
      <c r="W22" s="212"/>
      <c r="X22" s="220"/>
      <c r="Y22" s="198"/>
      <c r="Z22" s="220"/>
      <c r="AA22" s="205"/>
      <c r="AB22" s="274"/>
      <c r="AC22" s="220"/>
      <c r="AD22" s="220">
        <v>43.4</v>
      </c>
      <c r="AE22" s="220"/>
      <c r="AF22" s="220"/>
      <c r="AG22" s="220"/>
      <c r="AH22" s="220"/>
      <c r="AI22" s="220"/>
      <c r="AJ22" s="384"/>
      <c r="AK22" s="272">
        <f t="shared" si="3"/>
        <v>43.4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1126.3600000000001</v>
      </c>
      <c r="AT22" s="222">
        <f t="shared" si="7"/>
        <v>0</v>
      </c>
      <c r="AU22" s="284">
        <f t="shared" si="5"/>
        <v>38906.700000000012</v>
      </c>
    </row>
    <row r="23" spans="2:47" ht="15.75" x14ac:dyDescent="0.3">
      <c r="B23" s="577">
        <v>44148</v>
      </c>
      <c r="C23" s="860">
        <v>5.1900000000000002E-2</v>
      </c>
      <c r="D23" s="816">
        <f t="shared" si="6"/>
        <v>37780.340000000011</v>
      </c>
      <c r="E23" s="817"/>
      <c r="F23" s="814"/>
      <c r="G23" s="819"/>
      <c r="H23" s="815"/>
      <c r="I23" s="220">
        <v>442.78</v>
      </c>
      <c r="J23" s="224"/>
      <c r="K23" s="205"/>
      <c r="L23" s="205">
        <v>516.51</v>
      </c>
      <c r="M23" s="525"/>
      <c r="N23" s="299"/>
      <c r="O23" s="207">
        <v>1156</v>
      </c>
      <c r="P23" s="207"/>
      <c r="Q23" s="207"/>
      <c r="R23" s="207">
        <v>1206</v>
      </c>
      <c r="S23" s="562"/>
      <c r="T23" s="570">
        <f t="shared" si="0"/>
        <v>959.29</v>
      </c>
      <c r="U23" s="219">
        <f t="shared" si="1"/>
        <v>2362</v>
      </c>
      <c r="V23" s="571">
        <f t="shared" si="4"/>
        <v>0.40613463166807789</v>
      </c>
      <c r="W23" s="212"/>
      <c r="X23" s="220"/>
      <c r="Y23" s="198"/>
      <c r="Z23" s="220"/>
      <c r="AA23" s="205"/>
      <c r="AB23" s="274"/>
      <c r="AC23" s="220"/>
      <c r="AD23" s="220"/>
      <c r="AE23" s="220"/>
      <c r="AF23" s="220"/>
      <c r="AG23" s="220"/>
      <c r="AH23" s="220"/>
      <c r="AI23" s="220">
        <v>134</v>
      </c>
      <c r="AJ23" s="384"/>
      <c r="AK23" s="272">
        <f t="shared" si="3"/>
        <v>134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1093.29</v>
      </c>
      <c r="AT23" s="222">
        <f t="shared" si="7"/>
        <v>0</v>
      </c>
      <c r="AU23" s="284">
        <f t="shared" si="5"/>
        <v>37780.340000000011</v>
      </c>
    </row>
    <row r="24" spans="2:47" ht="15.75" x14ac:dyDescent="0.3">
      <c r="B24" s="577">
        <v>44149</v>
      </c>
      <c r="C24" s="860">
        <v>0.18179999999999999</v>
      </c>
      <c r="D24" s="816">
        <f t="shared" si="6"/>
        <v>36687.05000000001</v>
      </c>
      <c r="E24" s="820"/>
      <c r="F24" s="814"/>
      <c r="G24" s="818"/>
      <c r="H24" s="821"/>
      <c r="I24" s="205">
        <v>501.61</v>
      </c>
      <c r="J24" s="224"/>
      <c r="K24" s="205"/>
      <c r="L24" s="205">
        <v>461.28</v>
      </c>
      <c r="M24" s="525"/>
      <c r="N24" s="299"/>
      <c r="O24" s="299">
        <v>1268</v>
      </c>
      <c r="P24" s="207"/>
      <c r="Q24" s="207"/>
      <c r="R24" s="207">
        <v>1112</v>
      </c>
      <c r="S24" s="562"/>
      <c r="T24" s="570">
        <f t="shared" si="0"/>
        <v>962.89</v>
      </c>
      <c r="U24" s="219">
        <f t="shared" si="1"/>
        <v>2380</v>
      </c>
      <c r="V24" s="571">
        <f t="shared" si="4"/>
        <v>0.40457563025210086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84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962.89</v>
      </c>
      <c r="AT24" s="222">
        <f t="shared" si="7"/>
        <v>0</v>
      </c>
      <c r="AU24" s="284">
        <f t="shared" si="5"/>
        <v>36687.05000000001</v>
      </c>
    </row>
    <row r="25" spans="2:47" ht="15.75" x14ac:dyDescent="0.3">
      <c r="B25" s="577">
        <v>44150</v>
      </c>
      <c r="C25" s="860">
        <v>0.1429</v>
      </c>
      <c r="D25" s="816">
        <f t="shared" si="6"/>
        <v>35724.160000000011</v>
      </c>
      <c r="E25" s="817"/>
      <c r="F25" s="814"/>
      <c r="G25" s="818"/>
      <c r="H25" s="815"/>
      <c r="I25" s="220"/>
      <c r="J25" s="224"/>
      <c r="K25" s="205"/>
      <c r="L25" s="205">
        <v>453.26</v>
      </c>
      <c r="M25" s="525">
        <v>601.80999999999995</v>
      </c>
      <c r="N25" s="299"/>
      <c r="O25" s="207"/>
      <c r="P25" s="207"/>
      <c r="Q25" s="207"/>
      <c r="R25" s="207">
        <v>1046</v>
      </c>
      <c r="S25" s="562">
        <v>1291</v>
      </c>
      <c r="T25" s="570">
        <f t="shared" si="0"/>
        <v>1055.07</v>
      </c>
      <c r="U25" s="219">
        <f t="shared" si="1"/>
        <v>2337</v>
      </c>
      <c r="V25" s="571">
        <f t="shared" si="4"/>
        <v>0.4514634146341463</v>
      </c>
      <c r="W25" s="212"/>
      <c r="X25" s="220"/>
      <c r="Y25" s="198"/>
      <c r="Z25" s="220">
        <v>44.26</v>
      </c>
      <c r="AA25" s="205"/>
      <c r="AB25" s="274"/>
      <c r="AC25" s="220"/>
      <c r="AD25" s="220"/>
      <c r="AE25" s="220"/>
      <c r="AF25" s="220"/>
      <c r="AG25" s="220"/>
      <c r="AH25" s="220"/>
      <c r="AI25" s="220">
        <v>115</v>
      </c>
      <c r="AJ25" s="384"/>
      <c r="AK25" s="272">
        <f t="shared" si="3"/>
        <v>159.26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1214.33</v>
      </c>
      <c r="AT25" s="222">
        <f t="shared" si="7"/>
        <v>0</v>
      </c>
      <c r="AU25" s="284">
        <f t="shared" si="5"/>
        <v>35724.160000000011</v>
      </c>
    </row>
    <row r="26" spans="2:47" ht="15.75" x14ac:dyDescent="0.3">
      <c r="B26" s="577">
        <v>44151</v>
      </c>
      <c r="C26" s="860">
        <v>0.12989999999999999</v>
      </c>
      <c r="D26" s="816">
        <f t="shared" si="6"/>
        <v>34509.830000000009</v>
      </c>
      <c r="E26" s="817"/>
      <c r="F26" s="814"/>
      <c r="G26" s="819"/>
      <c r="H26" s="815"/>
      <c r="I26" s="220">
        <v>546.58000000000004</v>
      </c>
      <c r="J26" s="224"/>
      <c r="K26" s="205"/>
      <c r="L26" s="205"/>
      <c r="M26" s="525">
        <v>583.07000000000005</v>
      </c>
      <c r="N26" s="299"/>
      <c r="O26" s="207">
        <v>1144</v>
      </c>
      <c r="P26" s="207"/>
      <c r="Q26" s="207"/>
      <c r="R26" s="207"/>
      <c r="S26" s="562">
        <v>1324</v>
      </c>
      <c r="T26" s="570">
        <f t="shared" si="0"/>
        <v>1129.6500000000001</v>
      </c>
      <c r="U26" s="219">
        <f t="shared" si="1"/>
        <v>2468</v>
      </c>
      <c r="V26" s="571">
        <f t="shared" si="4"/>
        <v>0.45771880064829823</v>
      </c>
      <c r="W26" s="212"/>
      <c r="X26" s="220">
        <v>57.1</v>
      </c>
      <c r="Y26" s="198">
        <v>10.41</v>
      </c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84"/>
      <c r="AK26" s="272">
        <f t="shared" si="3"/>
        <v>67.510000000000005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1197.1600000000001</v>
      </c>
      <c r="AT26" s="222">
        <f t="shared" si="7"/>
        <v>0</v>
      </c>
      <c r="AU26" s="284">
        <f t="shared" si="5"/>
        <v>34509.830000000009</v>
      </c>
    </row>
    <row r="27" spans="2:47" ht="15.75" x14ac:dyDescent="0.3">
      <c r="B27" s="577">
        <v>44152</v>
      </c>
      <c r="C27" s="860">
        <v>0.03</v>
      </c>
      <c r="D27" s="816">
        <f t="shared" si="6"/>
        <v>33312.670000000006</v>
      </c>
      <c r="E27" s="817"/>
      <c r="F27" s="814"/>
      <c r="G27" s="818"/>
      <c r="H27" s="815"/>
      <c r="I27" s="220">
        <v>435.19</v>
      </c>
      <c r="J27" s="224"/>
      <c r="K27" s="205"/>
      <c r="L27" s="205">
        <v>493.79</v>
      </c>
      <c r="M27" s="525"/>
      <c r="N27" s="299"/>
      <c r="O27" s="207">
        <v>1086</v>
      </c>
      <c r="P27" s="207"/>
      <c r="Q27" s="207"/>
      <c r="R27" s="207">
        <v>1180</v>
      </c>
      <c r="S27" s="562"/>
      <c r="T27" s="570">
        <f t="shared" si="0"/>
        <v>928.98</v>
      </c>
      <c r="U27" s="219">
        <f t="shared" si="1"/>
        <v>2266</v>
      </c>
      <c r="V27" s="571">
        <f t="shared" si="4"/>
        <v>0.40996469549867609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84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928.98</v>
      </c>
      <c r="AT27" s="222">
        <f t="shared" si="7"/>
        <v>0</v>
      </c>
      <c r="AU27" s="284">
        <f t="shared" si="5"/>
        <v>33312.670000000006</v>
      </c>
    </row>
    <row r="28" spans="2:47" ht="15.75" x14ac:dyDescent="0.3">
      <c r="B28" s="577">
        <v>44153</v>
      </c>
      <c r="C28" s="860">
        <v>0.104</v>
      </c>
      <c r="D28" s="816">
        <f t="shared" si="6"/>
        <v>47383.69</v>
      </c>
      <c r="E28" s="817">
        <v>15000</v>
      </c>
      <c r="F28" s="814">
        <v>15000</v>
      </c>
      <c r="G28" s="838" t="s">
        <v>322</v>
      </c>
      <c r="H28" s="815"/>
      <c r="I28" s="220">
        <v>486.24</v>
      </c>
      <c r="J28" s="206"/>
      <c r="K28" s="205"/>
      <c r="L28" s="205"/>
      <c r="M28" s="525">
        <v>511</v>
      </c>
      <c r="N28" s="299"/>
      <c r="O28" s="207">
        <v>1159</v>
      </c>
      <c r="P28" s="207"/>
      <c r="Q28" s="207"/>
      <c r="R28" s="207">
        <v>1239</v>
      </c>
      <c r="S28" s="562"/>
      <c r="T28" s="570">
        <f t="shared" si="0"/>
        <v>997.24</v>
      </c>
      <c r="U28" s="219">
        <f t="shared" si="1"/>
        <v>2398</v>
      </c>
      <c r="V28" s="571">
        <f t="shared" si="4"/>
        <v>0.41586321934945786</v>
      </c>
      <c r="W28" s="212"/>
      <c r="X28" s="220"/>
      <c r="Y28" s="198">
        <v>22.59</v>
      </c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84"/>
      <c r="AK28" s="272">
        <f>SUM(W28:AJ28)</f>
        <v>22.59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1019.83</v>
      </c>
      <c r="AT28" s="222">
        <f t="shared" si="7"/>
        <v>0</v>
      </c>
      <c r="AU28" s="284">
        <f>D28</f>
        <v>47383.69</v>
      </c>
    </row>
    <row r="29" spans="2:47" ht="15.75" x14ac:dyDescent="0.3">
      <c r="B29" s="577">
        <v>44154</v>
      </c>
      <c r="C29" s="860">
        <v>5.1999999999999998E-2</v>
      </c>
      <c r="D29" s="816">
        <f t="shared" si="6"/>
        <v>46363.86</v>
      </c>
      <c r="E29" s="817"/>
      <c r="F29" s="814"/>
      <c r="G29" s="818"/>
      <c r="H29" s="815"/>
      <c r="I29" s="220">
        <v>419.43</v>
      </c>
      <c r="J29" s="206"/>
      <c r="K29" s="205"/>
      <c r="L29" s="205">
        <v>622.24</v>
      </c>
      <c r="M29" s="525"/>
      <c r="N29" s="299"/>
      <c r="O29" s="207">
        <v>1073</v>
      </c>
      <c r="P29" s="207"/>
      <c r="Q29" s="207"/>
      <c r="R29" s="207">
        <v>1514</v>
      </c>
      <c r="S29" s="562"/>
      <c r="T29" s="570">
        <f t="shared" si="0"/>
        <v>1041.67</v>
      </c>
      <c r="U29" s="219">
        <f t="shared" si="1"/>
        <v>2587</v>
      </c>
      <c r="V29" s="571">
        <f t="shared" si="4"/>
        <v>0.40265558562040976</v>
      </c>
      <c r="W29" s="212"/>
      <c r="X29" s="220">
        <v>33.729999999999997</v>
      </c>
      <c r="Y29" s="198">
        <v>9.5399999999999991</v>
      </c>
      <c r="Z29" s="220"/>
      <c r="AA29" s="205">
        <v>34.78</v>
      </c>
      <c r="AB29" s="274"/>
      <c r="AC29" s="220"/>
      <c r="AD29" s="220"/>
      <c r="AE29" s="220"/>
      <c r="AF29" s="220"/>
      <c r="AG29" s="220"/>
      <c r="AH29" s="220"/>
      <c r="AI29" s="220"/>
      <c r="AJ29" s="384"/>
      <c r="AK29" s="272">
        <f t="shared" si="3"/>
        <v>78.05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1119.72</v>
      </c>
      <c r="AT29" s="222">
        <f t="shared" si="7"/>
        <v>0</v>
      </c>
      <c r="AU29" s="284">
        <f t="shared" si="5"/>
        <v>46363.86</v>
      </c>
    </row>
    <row r="30" spans="2:47" ht="15.75" x14ac:dyDescent="0.3">
      <c r="B30" s="577">
        <v>44155</v>
      </c>
      <c r="C30" s="860">
        <v>5.1999999999999998E-2</v>
      </c>
      <c r="D30" s="816">
        <f t="shared" si="6"/>
        <v>45244.14</v>
      </c>
      <c r="E30" s="817"/>
      <c r="F30" s="814"/>
      <c r="G30" s="818"/>
      <c r="H30" s="815"/>
      <c r="I30" s="220">
        <v>444.85</v>
      </c>
      <c r="J30" s="206"/>
      <c r="K30" s="205"/>
      <c r="L30" s="205"/>
      <c r="M30" s="525">
        <v>560.21</v>
      </c>
      <c r="N30" s="299"/>
      <c r="O30" s="207">
        <v>1384</v>
      </c>
      <c r="P30" s="207"/>
      <c r="Q30" s="207"/>
      <c r="R30" s="207">
        <v>1208</v>
      </c>
      <c r="S30" s="562"/>
      <c r="T30" s="570">
        <f t="shared" si="0"/>
        <v>1005.0600000000001</v>
      </c>
      <c r="U30" s="219">
        <f t="shared" si="1"/>
        <v>2592</v>
      </c>
      <c r="V30" s="571">
        <f t="shared" si="4"/>
        <v>0.38775462962962964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84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1005.0600000000001</v>
      </c>
      <c r="AT30" s="222">
        <f t="shared" si="7"/>
        <v>0</v>
      </c>
      <c r="AU30" s="284">
        <f t="shared" si="5"/>
        <v>45244.14</v>
      </c>
    </row>
    <row r="31" spans="2:47" ht="15.75" x14ac:dyDescent="0.3">
      <c r="B31" s="577">
        <v>44156</v>
      </c>
      <c r="C31" s="860">
        <v>6.5000000000000002E-2</v>
      </c>
      <c r="D31" s="816">
        <f t="shared" si="6"/>
        <v>44239.08</v>
      </c>
      <c r="E31" s="817"/>
      <c r="F31" s="814"/>
      <c r="G31" s="818"/>
      <c r="H31" s="815"/>
      <c r="I31" s="220"/>
      <c r="J31" s="206"/>
      <c r="K31" s="205">
        <v>518.16999999999996</v>
      </c>
      <c r="L31" s="205">
        <v>587.27</v>
      </c>
      <c r="M31" s="525"/>
      <c r="N31" s="299"/>
      <c r="O31" s="207"/>
      <c r="P31" s="207"/>
      <c r="Q31" s="207">
        <v>1223</v>
      </c>
      <c r="R31" s="207">
        <v>1450</v>
      </c>
      <c r="S31" s="562"/>
      <c r="T31" s="570">
        <f t="shared" si="0"/>
        <v>1105.44</v>
      </c>
      <c r="U31" s="219">
        <f t="shared" si="1"/>
        <v>2673</v>
      </c>
      <c r="V31" s="571">
        <f t="shared" si="4"/>
        <v>0.41355780022446692</v>
      </c>
      <c r="W31" s="212"/>
      <c r="X31" s="220"/>
      <c r="Y31" s="198">
        <v>8.23</v>
      </c>
      <c r="Z31" s="220"/>
      <c r="AA31" s="205"/>
      <c r="AB31" s="274"/>
      <c r="AC31" s="220">
        <v>72.16</v>
      </c>
      <c r="AD31" s="220"/>
      <c r="AE31" s="220"/>
      <c r="AF31" s="220"/>
      <c r="AG31" s="220"/>
      <c r="AH31" s="220"/>
      <c r="AI31" s="220">
        <v>117</v>
      </c>
      <c r="AJ31" s="384"/>
      <c r="AK31" s="272">
        <f t="shared" si="3"/>
        <v>197.39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1302.83</v>
      </c>
      <c r="AT31" s="222">
        <f t="shared" si="7"/>
        <v>0</v>
      </c>
      <c r="AU31" s="284">
        <f t="shared" si="5"/>
        <v>44239.08</v>
      </c>
    </row>
    <row r="32" spans="2:47" ht="15.75" x14ac:dyDescent="0.3">
      <c r="B32" s="577">
        <v>44157</v>
      </c>
      <c r="C32" s="860">
        <v>0.1</v>
      </c>
      <c r="D32" s="816">
        <f t="shared" si="6"/>
        <v>42936.25</v>
      </c>
      <c r="E32" s="817"/>
      <c r="F32" s="814"/>
      <c r="G32" s="818"/>
      <c r="H32" s="815"/>
      <c r="I32" s="220"/>
      <c r="J32" s="206"/>
      <c r="K32" s="205">
        <v>524.58000000000004</v>
      </c>
      <c r="L32" s="205">
        <v>519.46</v>
      </c>
      <c r="M32" s="525"/>
      <c r="N32" s="299"/>
      <c r="O32" s="207"/>
      <c r="P32" s="207"/>
      <c r="Q32" s="207">
        <v>1340</v>
      </c>
      <c r="R32" s="207">
        <v>1245</v>
      </c>
      <c r="S32" s="562"/>
      <c r="T32" s="570">
        <f t="shared" si="0"/>
        <v>1044.04</v>
      </c>
      <c r="U32" s="219">
        <f t="shared" si="1"/>
        <v>2585</v>
      </c>
      <c r="V32" s="571">
        <f t="shared" si="4"/>
        <v>0.40388394584139264</v>
      </c>
      <c r="W32" s="212"/>
      <c r="X32" s="220"/>
      <c r="Y32" s="198">
        <v>9.15</v>
      </c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84"/>
      <c r="AK32" s="272">
        <f t="shared" si="3"/>
        <v>9.15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1053.19</v>
      </c>
      <c r="AT32" s="222">
        <f t="shared" si="7"/>
        <v>0</v>
      </c>
      <c r="AU32" s="284">
        <f t="shared" si="5"/>
        <v>42936.25</v>
      </c>
    </row>
    <row r="33" spans="1:47" ht="15.75" x14ac:dyDescent="0.3">
      <c r="B33" s="577">
        <v>44158</v>
      </c>
      <c r="C33" s="860">
        <v>6.5000000000000002E-2</v>
      </c>
      <c r="D33" s="816">
        <f t="shared" si="6"/>
        <v>41883.06</v>
      </c>
      <c r="E33" s="817"/>
      <c r="F33" s="814"/>
      <c r="G33" s="818"/>
      <c r="H33" s="815"/>
      <c r="I33" s="220"/>
      <c r="J33" s="206"/>
      <c r="K33" s="205"/>
      <c r="L33" s="205"/>
      <c r="M33" s="525">
        <v>1074.8399999999999</v>
      </c>
      <c r="N33" s="299"/>
      <c r="O33" s="207"/>
      <c r="P33" s="207"/>
      <c r="Q33" s="207"/>
      <c r="R33" s="207"/>
      <c r="S33" s="562">
        <v>2587</v>
      </c>
      <c r="T33" s="570">
        <f t="shared" si="0"/>
        <v>1074.8399999999999</v>
      </c>
      <c r="U33" s="219">
        <f t="shared" si="1"/>
        <v>2587</v>
      </c>
      <c r="V33" s="571">
        <f t="shared" si="4"/>
        <v>0.41547738693467334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84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1074.8399999999999</v>
      </c>
      <c r="AT33" s="222">
        <f t="shared" si="7"/>
        <v>0</v>
      </c>
      <c r="AU33" s="284">
        <f t="shared" si="5"/>
        <v>41883.06</v>
      </c>
    </row>
    <row r="34" spans="1:47" ht="15.75" x14ac:dyDescent="0.3">
      <c r="B34" s="577">
        <v>44159</v>
      </c>
      <c r="C34" s="860">
        <v>6.5000000000000002E-2</v>
      </c>
      <c r="D34" s="816">
        <f t="shared" si="6"/>
        <v>40808.22</v>
      </c>
      <c r="E34" s="817"/>
      <c r="F34" s="814"/>
      <c r="G34" s="818"/>
      <c r="H34" s="815"/>
      <c r="I34" s="220"/>
      <c r="J34" s="205"/>
      <c r="K34" s="205">
        <v>1019.27</v>
      </c>
      <c r="L34" s="205"/>
      <c r="M34" s="525"/>
      <c r="N34" s="299"/>
      <c r="O34" s="207"/>
      <c r="P34" s="207"/>
      <c r="Q34" s="207">
        <v>2376</v>
      </c>
      <c r="R34" s="207"/>
      <c r="S34" s="562"/>
      <c r="T34" s="570">
        <f t="shared" si="0"/>
        <v>1019.27</v>
      </c>
      <c r="U34" s="219">
        <f t="shared" si="1"/>
        <v>2376</v>
      </c>
      <c r="V34" s="571">
        <f t="shared" si="4"/>
        <v>0.42898569023569022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>
        <v>67</v>
      </c>
      <c r="AJ34" s="384"/>
      <c r="AK34" s="272">
        <f t="shared" si="3"/>
        <v>67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1086.27</v>
      </c>
      <c r="AT34" s="222">
        <f t="shared" si="7"/>
        <v>0</v>
      </c>
      <c r="AU34" s="284">
        <f t="shared" si="5"/>
        <v>40808.22</v>
      </c>
    </row>
    <row r="35" spans="1:47" ht="15.75" x14ac:dyDescent="0.3">
      <c r="B35" s="577">
        <v>44160</v>
      </c>
      <c r="C35" s="860">
        <v>3.9E-2</v>
      </c>
      <c r="D35" s="816">
        <f t="shared" si="6"/>
        <v>39721.950000000004</v>
      </c>
      <c r="E35" s="817"/>
      <c r="F35" s="814"/>
      <c r="G35" s="818"/>
      <c r="H35" s="815"/>
      <c r="I35" s="220">
        <v>979.02</v>
      </c>
      <c r="J35" s="206"/>
      <c r="K35" s="205"/>
      <c r="L35" s="205"/>
      <c r="M35" s="525"/>
      <c r="N35" s="299"/>
      <c r="O35" s="207">
        <v>2258</v>
      </c>
      <c r="P35" s="207"/>
      <c r="Q35" s="207"/>
      <c r="R35" s="207"/>
      <c r="S35" s="562"/>
      <c r="T35" s="570">
        <f t="shared" si="0"/>
        <v>979.02</v>
      </c>
      <c r="U35" s="219">
        <f t="shared" si="1"/>
        <v>2258</v>
      </c>
      <c r="V35" s="571">
        <f t="shared" si="4"/>
        <v>0.43357838795394155</v>
      </c>
      <c r="W35" s="212"/>
      <c r="X35" s="220">
        <v>20.32</v>
      </c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84"/>
      <c r="AK35" s="272">
        <f t="shared" si="3"/>
        <v>20.32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999.34</v>
      </c>
      <c r="AT35" s="222">
        <f t="shared" si="7"/>
        <v>0</v>
      </c>
      <c r="AU35" s="284">
        <f t="shared" si="5"/>
        <v>39721.950000000004</v>
      </c>
    </row>
    <row r="36" spans="1:47" ht="15.75" x14ac:dyDescent="0.3">
      <c r="B36" s="577">
        <v>44161</v>
      </c>
      <c r="C36" s="860">
        <v>1.2999999999999999E-2</v>
      </c>
      <c r="D36" s="816">
        <f t="shared" si="6"/>
        <v>38722.610000000008</v>
      </c>
      <c r="E36" s="817"/>
      <c r="F36" s="814"/>
      <c r="G36" s="525"/>
      <c r="H36" s="815"/>
      <c r="I36" s="220"/>
      <c r="J36" s="206"/>
      <c r="K36" s="205"/>
      <c r="L36" s="205"/>
      <c r="M36" s="525">
        <v>928.16</v>
      </c>
      <c r="N36" s="299"/>
      <c r="O36" s="207"/>
      <c r="P36" s="207"/>
      <c r="Q36" s="207"/>
      <c r="R36" s="207"/>
      <c r="S36" s="562">
        <v>2255</v>
      </c>
      <c r="T36" s="570">
        <f t="shared" si="0"/>
        <v>928.16</v>
      </c>
      <c r="U36" s="219">
        <f t="shared" si="1"/>
        <v>2255</v>
      </c>
      <c r="V36" s="571">
        <f t="shared" si="4"/>
        <v>0.4116008869179601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84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928.16</v>
      </c>
      <c r="AT36" s="222">
        <f t="shared" si="7"/>
        <v>0</v>
      </c>
      <c r="AU36" s="284">
        <f t="shared" si="5"/>
        <v>38722.610000000008</v>
      </c>
    </row>
    <row r="37" spans="1:47" ht="15.75" x14ac:dyDescent="0.3">
      <c r="B37" s="577">
        <v>44162</v>
      </c>
      <c r="C37" s="860">
        <v>0.01</v>
      </c>
      <c r="D37" s="816">
        <f t="shared" si="6"/>
        <v>37794.450000000004</v>
      </c>
      <c r="E37" s="817"/>
      <c r="F37" s="814"/>
      <c r="G37" s="525"/>
      <c r="H37" s="815"/>
      <c r="I37" s="220"/>
      <c r="J37" s="206"/>
      <c r="K37" s="205"/>
      <c r="L37" s="205">
        <v>1021.58</v>
      </c>
      <c r="M37" s="525"/>
      <c r="N37" s="299"/>
      <c r="O37" s="207"/>
      <c r="P37" s="207"/>
      <c r="Q37" s="207"/>
      <c r="R37" s="207">
        <v>2395</v>
      </c>
      <c r="S37" s="207"/>
      <c r="T37" s="570">
        <f t="shared" si="0"/>
        <v>1021.58</v>
      </c>
      <c r="U37" s="219">
        <f t="shared" si="1"/>
        <v>2395</v>
      </c>
      <c r="V37" s="571">
        <f t="shared" si="4"/>
        <v>0.42654697286012527</v>
      </c>
      <c r="W37" s="212"/>
      <c r="X37" s="220"/>
      <c r="Y37" s="198"/>
      <c r="Z37" s="220"/>
      <c r="AA37" s="205"/>
      <c r="AB37" s="274"/>
      <c r="AC37" s="220"/>
      <c r="AD37" s="220">
        <v>37.380000000000003</v>
      </c>
      <c r="AE37" s="220"/>
      <c r="AF37" s="220"/>
      <c r="AG37" s="220"/>
      <c r="AH37" s="440"/>
      <c r="AI37" s="220"/>
      <c r="AJ37" s="384"/>
      <c r="AK37" s="272">
        <f t="shared" si="3"/>
        <v>37.380000000000003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1058.96</v>
      </c>
      <c r="AT37" s="222">
        <f t="shared" si="7"/>
        <v>0</v>
      </c>
      <c r="AU37" s="284">
        <f t="shared" si="5"/>
        <v>37794.450000000004</v>
      </c>
    </row>
    <row r="38" spans="1:47" ht="15.75" x14ac:dyDescent="0.3">
      <c r="B38" s="577">
        <v>44163</v>
      </c>
      <c r="C38" s="860">
        <v>2.5999999999999999E-2</v>
      </c>
      <c r="D38" s="816">
        <f t="shared" si="6"/>
        <v>36735.490000000005</v>
      </c>
      <c r="E38" s="817"/>
      <c r="F38" s="814"/>
      <c r="G38" s="525"/>
      <c r="H38" s="815"/>
      <c r="I38" s="220">
        <v>246.71</v>
      </c>
      <c r="J38" s="206"/>
      <c r="K38" s="205">
        <v>722.91</v>
      </c>
      <c r="L38" s="205"/>
      <c r="M38" s="525"/>
      <c r="N38" s="299"/>
      <c r="O38" s="207"/>
      <c r="P38" s="207"/>
      <c r="Q38" s="207"/>
      <c r="R38" s="207"/>
      <c r="S38" s="207"/>
      <c r="T38" s="570">
        <f t="shared" si="0"/>
        <v>969.62</v>
      </c>
      <c r="U38" s="219">
        <f t="shared" si="1"/>
        <v>0</v>
      </c>
      <c r="V38" s="571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40"/>
      <c r="AI38" s="220"/>
      <c r="AJ38" s="384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969.62</v>
      </c>
      <c r="AT38" s="222">
        <f t="shared" si="7"/>
        <v>0</v>
      </c>
      <c r="AU38" s="284">
        <f t="shared" si="5"/>
        <v>36735.490000000005</v>
      </c>
    </row>
    <row r="39" spans="1:47" ht="15.75" x14ac:dyDescent="0.3">
      <c r="B39" s="577">
        <v>44164</v>
      </c>
      <c r="C39" s="860">
        <v>2.5999999999999999E-2</v>
      </c>
      <c r="D39" s="816">
        <f t="shared" si="6"/>
        <v>35765.870000000003</v>
      </c>
      <c r="E39" s="817"/>
      <c r="F39" s="814"/>
      <c r="G39" s="525"/>
      <c r="H39" s="815"/>
      <c r="I39" s="220"/>
      <c r="J39" s="228"/>
      <c r="K39" s="205"/>
      <c r="L39" s="205"/>
      <c r="M39" s="525">
        <v>959.37</v>
      </c>
      <c r="N39" s="299"/>
      <c r="O39" s="207"/>
      <c r="P39" s="229"/>
      <c r="Q39" s="207"/>
      <c r="R39" s="207"/>
      <c r="S39" s="562">
        <v>2264</v>
      </c>
      <c r="T39" s="570">
        <f t="shared" si="0"/>
        <v>959.37</v>
      </c>
      <c r="U39" s="219">
        <f t="shared" si="1"/>
        <v>2264</v>
      </c>
      <c r="V39" s="571">
        <f t="shared" si="4"/>
        <v>0.42375000000000002</v>
      </c>
      <c r="W39" s="212"/>
      <c r="X39" s="220"/>
      <c r="Y39" s="198"/>
      <c r="Z39" s="220"/>
      <c r="AA39" s="205">
        <v>38.6</v>
      </c>
      <c r="AB39" s="274"/>
      <c r="AC39" s="220"/>
      <c r="AD39" s="220"/>
      <c r="AE39" s="220"/>
      <c r="AF39" s="220"/>
      <c r="AG39" s="220"/>
      <c r="AH39" s="440"/>
      <c r="AI39" s="220"/>
      <c r="AJ39" s="384"/>
      <c r="AK39" s="272">
        <f t="shared" si="3"/>
        <v>38.6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997.97</v>
      </c>
      <c r="AT39" s="222">
        <f t="shared" si="7"/>
        <v>0</v>
      </c>
      <c r="AU39" s="284">
        <f t="shared" si="5"/>
        <v>35765.870000000003</v>
      </c>
    </row>
    <row r="40" spans="1:47" ht="15.75" x14ac:dyDescent="0.3">
      <c r="B40" s="577">
        <v>44165</v>
      </c>
      <c r="C40" s="860">
        <v>3.9E-2</v>
      </c>
      <c r="D40" s="816">
        <f t="shared" si="6"/>
        <v>34767.9</v>
      </c>
      <c r="E40" s="817"/>
      <c r="F40" s="814"/>
      <c r="G40" s="300"/>
      <c r="H40" s="815"/>
      <c r="I40" s="220"/>
      <c r="J40" s="206"/>
      <c r="K40" s="205"/>
      <c r="L40" s="205">
        <v>923.68</v>
      </c>
      <c r="M40" s="525"/>
      <c r="N40" s="299"/>
      <c r="O40" s="207"/>
      <c r="P40" s="207"/>
      <c r="Q40" s="207"/>
      <c r="R40" s="207"/>
      <c r="S40" s="562"/>
      <c r="T40" s="570">
        <f t="shared" si="0"/>
        <v>923.68</v>
      </c>
      <c r="U40" s="219">
        <f t="shared" si="1"/>
        <v>0</v>
      </c>
      <c r="V40" s="571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40"/>
      <c r="AI40" s="220">
        <v>318</v>
      </c>
      <c r="AJ40" s="384"/>
      <c r="AK40" s="272">
        <f t="shared" si="3"/>
        <v>318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1241.6799999999998</v>
      </c>
      <c r="AT40" s="222">
        <f t="shared" si="7"/>
        <v>0</v>
      </c>
      <c r="AU40" s="284">
        <f t="shared" si="5"/>
        <v>34767.9</v>
      </c>
    </row>
    <row r="41" spans="1:47" ht="14.25" x14ac:dyDescent="0.3">
      <c r="B41" s="577">
        <v>44166</v>
      </c>
      <c r="C41" s="575"/>
      <c r="D41" s="816">
        <f t="shared" si="6"/>
        <v>33526.22</v>
      </c>
      <c r="E41" s="817"/>
      <c r="F41" s="814"/>
      <c r="G41" s="300"/>
      <c r="H41" s="815"/>
      <c r="I41" s="205"/>
      <c r="J41" s="205"/>
      <c r="K41" s="205"/>
      <c r="L41" s="205"/>
      <c r="M41" s="525"/>
      <c r="N41" s="299"/>
      <c r="O41" s="207"/>
      <c r="P41" s="207"/>
      <c r="Q41" s="207"/>
      <c r="R41" s="207"/>
      <c r="S41" s="562"/>
      <c r="T41" s="570">
        <f t="shared" si="0"/>
        <v>0</v>
      </c>
      <c r="U41" s="219">
        <f t="shared" si="1"/>
        <v>0</v>
      </c>
      <c r="V41" s="571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40"/>
      <c r="AI41" s="220"/>
      <c r="AJ41" s="384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33526.22</v>
      </c>
    </row>
    <row r="42" spans="1:47" ht="14.25" x14ac:dyDescent="0.3">
      <c r="B42" s="577"/>
      <c r="C42" s="576"/>
      <c r="D42" s="816">
        <f t="shared" si="6"/>
        <v>33526.22</v>
      </c>
      <c r="E42" s="822"/>
      <c r="F42" s="814"/>
      <c r="G42" s="300"/>
      <c r="H42" s="815"/>
      <c r="I42" s="205"/>
      <c r="J42" s="205"/>
      <c r="K42" s="205"/>
      <c r="L42" s="205"/>
      <c r="M42" s="525"/>
      <c r="N42" s="299"/>
      <c r="O42" s="207"/>
      <c r="P42" s="207"/>
      <c r="Q42" s="207"/>
      <c r="R42" s="207"/>
      <c r="S42" s="562"/>
      <c r="T42" s="570">
        <f t="shared" si="0"/>
        <v>0</v>
      </c>
      <c r="U42" s="219">
        <f t="shared" si="1"/>
        <v>0</v>
      </c>
      <c r="V42" s="571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40"/>
      <c r="AI42" s="220"/>
      <c r="AJ42" s="384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33526.22</v>
      </c>
    </row>
    <row r="43" spans="1:47" ht="14.25" x14ac:dyDescent="0.3">
      <c r="B43" s="496" t="s">
        <v>25</v>
      </c>
      <c r="C43" s="469">
        <f>AVERAGE(C11:C42)</f>
        <v>5.7429999999999995E-2</v>
      </c>
      <c r="D43" s="812">
        <f t="shared" si="6"/>
        <v>33526.22</v>
      </c>
      <c r="E43" s="822"/>
      <c r="F43" s="814"/>
      <c r="G43" s="300"/>
      <c r="H43" s="513"/>
      <c r="I43" s="205"/>
      <c r="J43" s="205"/>
      <c r="K43" s="205"/>
      <c r="L43" s="205"/>
      <c r="M43" s="525"/>
      <c r="N43" s="299"/>
      <c r="O43" s="207"/>
      <c r="P43" s="207"/>
      <c r="Q43" s="207"/>
      <c r="R43" s="207"/>
      <c r="S43" s="562"/>
      <c r="T43" s="570">
        <f t="shared" si="0"/>
        <v>0</v>
      </c>
      <c r="U43" s="219">
        <f t="shared" si="1"/>
        <v>0</v>
      </c>
      <c r="V43" s="571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40"/>
      <c r="AI43" s="209"/>
      <c r="AJ43" s="384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33526.22</v>
      </c>
    </row>
    <row r="44" spans="1:47" ht="15" thickBot="1" x14ac:dyDescent="0.35">
      <c r="B44" s="497"/>
      <c r="C44" s="498"/>
      <c r="D44" s="823"/>
      <c r="E44" s="824"/>
      <c r="F44" s="825"/>
      <c r="G44" s="826"/>
      <c r="H44" s="827"/>
      <c r="I44" s="559"/>
      <c r="J44" s="559"/>
      <c r="K44" s="559"/>
      <c r="L44" s="559"/>
      <c r="M44" s="560"/>
      <c r="N44" s="298"/>
      <c r="O44" s="196"/>
      <c r="P44" s="196"/>
      <c r="Q44" s="196"/>
      <c r="R44" s="196"/>
      <c r="S44" s="564"/>
      <c r="T44" s="570">
        <f t="shared" si="0"/>
        <v>0</v>
      </c>
      <c r="U44" s="572"/>
      <c r="V44" s="573"/>
      <c r="W44" s="566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45">
        <f t="shared" si="3"/>
        <v>0</v>
      </c>
      <c r="AL44" s="310"/>
      <c r="AM44" s="310"/>
      <c r="AN44" s="310"/>
      <c r="AO44" s="310"/>
      <c r="AP44" s="310"/>
      <c r="AQ44" s="310"/>
      <c r="AR44" s="310"/>
      <c r="AS44" s="311">
        <f>T44+AK44</f>
        <v>0</v>
      </c>
      <c r="AT44" s="312">
        <f t="shared" si="7"/>
        <v>0</v>
      </c>
      <c r="AU44" s="313"/>
    </row>
    <row r="45" spans="1:47" s="236" customFormat="1" ht="13.5" thickBot="1" x14ac:dyDescent="0.3">
      <c r="A45" s="828"/>
      <c r="B45" s="552"/>
      <c r="C45" s="552"/>
      <c r="D45" s="829"/>
      <c r="E45" s="309">
        <f>SUM(E11:E44)</f>
        <v>33000</v>
      </c>
      <c r="F45" s="314">
        <f>SUM(F11:F42)</f>
        <v>33000</v>
      </c>
      <c r="G45" s="830">
        <f t="shared" ref="G45:P45" si="8">SUM(G11:G44)</f>
        <v>0</v>
      </c>
      <c r="H45" s="314">
        <f t="shared" si="8"/>
        <v>875.95</v>
      </c>
      <c r="I45" s="309">
        <f t="shared" si="8"/>
        <v>7836.53</v>
      </c>
      <c r="J45" s="314">
        <f t="shared" si="8"/>
        <v>0</v>
      </c>
      <c r="K45" s="309">
        <f t="shared" si="8"/>
        <v>3444.8999999999996</v>
      </c>
      <c r="L45" s="314">
        <f t="shared" si="8"/>
        <v>9216.8700000000008</v>
      </c>
      <c r="M45" s="309">
        <f t="shared" si="8"/>
        <v>9037.35</v>
      </c>
      <c r="N45" s="314">
        <f t="shared" si="8"/>
        <v>2152</v>
      </c>
      <c r="O45" s="553">
        <f t="shared" si="8"/>
        <v>18448</v>
      </c>
      <c r="P45" s="314">
        <f t="shared" si="8"/>
        <v>0</v>
      </c>
      <c r="Q45" s="309">
        <f>SUM(Q11:Q43)</f>
        <v>6467</v>
      </c>
      <c r="R45" s="314">
        <f>SUM(R11:R44)</f>
        <v>22066</v>
      </c>
      <c r="S45" s="309">
        <f>SUM(S11:S44)</f>
        <v>18855</v>
      </c>
      <c r="T45" s="551">
        <f>SUM(H45:M45)</f>
        <v>30411.599999999999</v>
      </c>
      <c r="U45" s="309">
        <f>SUM(N45:S45)</f>
        <v>67988</v>
      </c>
      <c r="V45" s="235" t="e">
        <f>SUM(V11:V42)</f>
        <v>#DIV/0!</v>
      </c>
      <c r="W45" s="546">
        <f t="shared" ref="W45:AC45" si="9">SUM(W9:W44)</f>
        <v>0</v>
      </c>
      <c r="X45" s="235">
        <f t="shared" si="9"/>
        <v>228.17</v>
      </c>
      <c r="Y45" s="546">
        <f t="shared" si="9"/>
        <v>126.79</v>
      </c>
      <c r="Z45" s="235">
        <f t="shared" si="9"/>
        <v>44.26</v>
      </c>
      <c r="AA45" s="546">
        <f t="shared" si="9"/>
        <v>73.38</v>
      </c>
      <c r="AB45" s="235">
        <f t="shared" si="9"/>
        <v>0</v>
      </c>
      <c r="AC45" s="546">
        <f t="shared" si="9"/>
        <v>72.16</v>
      </c>
      <c r="AD45" s="235">
        <f>SUM(AD10:AD44)</f>
        <v>80.78</v>
      </c>
      <c r="AE45" s="546">
        <f>SUM(AE10:AE44)</f>
        <v>48.74</v>
      </c>
      <c r="AF45" s="235">
        <f>SUM(AF9:AF44)</f>
        <v>0</v>
      </c>
      <c r="AG45" s="546">
        <f>SUM(AG9:AG44)</f>
        <v>0</v>
      </c>
      <c r="AH45" s="235">
        <f>SUM(AH9:AH44)</f>
        <v>0</v>
      </c>
      <c r="AI45" s="546">
        <f>SUM(AI9:AI43)</f>
        <v>892</v>
      </c>
      <c r="AJ45" s="235">
        <f>SUM(AJ9:AJ39)</f>
        <v>15</v>
      </c>
      <c r="AK45" s="546">
        <f>SUM(AK9:AK44)</f>
        <v>1581.28</v>
      </c>
      <c r="AL45" s="235"/>
      <c r="AM45" s="235"/>
      <c r="AN45" s="235"/>
      <c r="AO45" s="235"/>
      <c r="AP45" s="235"/>
      <c r="AQ45" s="235"/>
      <c r="AR45" s="547"/>
      <c r="AS45" s="548">
        <f>SUM(AS11:AS43)</f>
        <v>31992.880000000005</v>
      </c>
      <c r="AT45" s="549">
        <f>SUM(AT11:AT44)</f>
        <v>0</v>
      </c>
      <c r="AU45" s="550"/>
    </row>
    <row r="46" spans="1:47" ht="14.25" thickBot="1" x14ac:dyDescent="0.35">
      <c r="B46" s="803" t="s">
        <v>67</v>
      </c>
      <c r="T46" s="604"/>
      <c r="X46" s="192"/>
      <c r="Y46" s="192"/>
      <c r="Z46" s="192"/>
      <c r="AA46" s="192"/>
      <c r="AB46" s="192"/>
      <c r="AS46" s="182"/>
      <c r="AT46" s="237"/>
      <c r="AU46" s="181"/>
    </row>
    <row r="47" spans="1:47" ht="14.25" thickBot="1" x14ac:dyDescent="0.3">
      <c r="B47" s="321"/>
      <c r="G47" s="238"/>
      <c r="S47" s="182"/>
      <c r="T47" s="831">
        <f>AVERAGE(T11:T41)</f>
        <v>981.01935483870989</v>
      </c>
      <c r="U47" s="317">
        <f>T45*2315</f>
        <v>70402854</v>
      </c>
      <c r="V47" s="318" t="s">
        <v>244</v>
      </c>
      <c r="AS47" s="522">
        <f>AS45*2143</f>
        <v>68560741.840000004</v>
      </c>
      <c r="AT47" s="521" t="s">
        <v>244</v>
      </c>
      <c r="AU47" s="181"/>
    </row>
    <row r="48" spans="1:47" ht="14.25" thickBot="1" x14ac:dyDescent="0.35">
      <c r="B48" s="322" t="s">
        <v>247</v>
      </c>
      <c r="C48" s="239"/>
      <c r="G48" s="803" t="s">
        <v>253</v>
      </c>
      <c r="U48" s="317">
        <f>U47/2289</f>
        <v>30757.035386631716</v>
      </c>
      <c r="V48" s="318" t="s">
        <v>245</v>
      </c>
      <c r="X48" s="192"/>
      <c r="Y48" s="192"/>
      <c r="Z48" s="192"/>
      <c r="AA48" s="192"/>
      <c r="AB48" s="192"/>
      <c r="AS48" s="317">
        <f>AS47/2289</f>
        <v>29952.268169506337</v>
      </c>
      <c r="AT48" s="523" t="s">
        <v>245</v>
      </c>
      <c r="AU48" s="237"/>
    </row>
    <row r="49" spans="3:47" ht="14.25" thickBot="1" x14ac:dyDescent="0.35"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 x14ac:dyDescent="0.25">
      <c r="C50" s="917" t="s">
        <v>241</v>
      </c>
      <c r="D50" s="918"/>
      <c r="E50" s="918"/>
      <c r="F50" s="918"/>
      <c r="G50" s="919"/>
      <c r="I50" s="895" t="s">
        <v>213</v>
      </c>
      <c r="J50" s="896"/>
      <c r="K50" s="896"/>
      <c r="L50" s="896"/>
      <c r="M50" s="897"/>
      <c r="O50" s="898" t="s">
        <v>309</v>
      </c>
      <c r="P50" s="899"/>
      <c r="Q50" s="899"/>
      <c r="R50" s="899"/>
      <c r="S50" s="900"/>
      <c r="U50" s="901" t="s">
        <v>226</v>
      </c>
      <c r="V50" s="902"/>
      <c r="W50" s="902"/>
      <c r="X50" s="902"/>
      <c r="Y50" s="902"/>
      <c r="Z50" s="903"/>
    </row>
    <row r="51" spans="3:47" ht="25.5" customHeight="1" thickBot="1" x14ac:dyDescent="0.25">
      <c r="C51" s="501" t="s">
        <v>98</v>
      </c>
      <c r="D51" s="420" t="s">
        <v>196</v>
      </c>
      <c r="E51" s="502" t="s">
        <v>197</v>
      </c>
      <c r="F51" s="502" t="s">
        <v>212</v>
      </c>
      <c r="G51" s="503" t="s">
        <v>308</v>
      </c>
      <c r="I51" s="501" t="s">
        <v>98</v>
      </c>
      <c r="J51" s="420" t="s">
        <v>196</v>
      </c>
      <c r="K51" s="544" t="s">
        <v>197</v>
      </c>
      <c r="L51" s="505" t="s">
        <v>212</v>
      </c>
      <c r="M51" s="503" t="s">
        <v>308</v>
      </c>
      <c r="O51" s="542" t="s">
        <v>98</v>
      </c>
      <c r="P51" s="536" t="s">
        <v>196</v>
      </c>
      <c r="Q51" s="543" t="s">
        <v>197</v>
      </c>
      <c r="R51" s="537" t="s">
        <v>212</v>
      </c>
      <c r="S51" s="538" t="s">
        <v>215</v>
      </c>
      <c r="U51" s="343" t="s">
        <v>0</v>
      </c>
      <c r="V51" s="616" t="s">
        <v>196</v>
      </c>
      <c r="W51" s="618" t="s">
        <v>227</v>
      </c>
      <c r="X51" s="617" t="s">
        <v>212</v>
      </c>
      <c r="Y51" s="344" t="s">
        <v>228</v>
      </c>
      <c r="Z51" s="345" t="s">
        <v>229</v>
      </c>
    </row>
    <row r="52" spans="3:47" ht="11.25" customHeight="1" x14ac:dyDescent="0.2">
      <c r="C52" s="339">
        <v>44140</v>
      </c>
      <c r="D52" s="303" t="s">
        <v>328</v>
      </c>
      <c r="E52" s="380">
        <v>49</v>
      </c>
      <c r="F52" s="303" t="s">
        <v>329</v>
      </c>
      <c r="G52" s="526" t="s">
        <v>337</v>
      </c>
      <c r="I52" s="529"/>
      <c r="J52" s="506"/>
      <c r="K52" s="506"/>
      <c r="L52" s="506"/>
      <c r="M52" s="530"/>
      <c r="O52" s="346"/>
      <c r="P52" s="506"/>
      <c r="Q52" s="524"/>
      <c r="R52" s="524"/>
      <c r="S52" s="510"/>
      <c r="U52" s="346"/>
      <c r="V52" s="531"/>
      <c r="W52" s="614"/>
      <c r="X52" s="532"/>
      <c r="Y52" s="532"/>
      <c r="Z52" s="533" t="s">
        <v>318</v>
      </c>
    </row>
    <row r="53" spans="3:47" ht="11.25" customHeight="1" x14ac:dyDescent="0.2">
      <c r="C53" s="339">
        <v>44141</v>
      </c>
      <c r="D53" s="303" t="s">
        <v>323</v>
      </c>
      <c r="E53" s="380">
        <v>92</v>
      </c>
      <c r="F53" s="303" t="s">
        <v>330</v>
      </c>
      <c r="G53" s="526" t="s">
        <v>337</v>
      </c>
      <c r="I53" s="832"/>
      <c r="J53" s="833"/>
      <c r="K53" s="833"/>
      <c r="L53" s="833"/>
      <c r="M53" s="526"/>
      <c r="O53" s="499"/>
      <c r="P53" s="833"/>
      <c r="Q53" s="834"/>
      <c r="R53" s="834"/>
      <c r="S53" s="835"/>
      <c r="U53" s="499"/>
      <c r="V53" s="201"/>
      <c r="W53" s="614"/>
      <c r="X53" s="500"/>
      <c r="Y53" s="500"/>
      <c r="Z53" s="836"/>
    </row>
    <row r="54" spans="3:47" ht="11.25" customHeight="1" x14ac:dyDescent="0.2">
      <c r="C54" s="339">
        <v>44148</v>
      </c>
      <c r="D54" s="303" t="s">
        <v>331</v>
      </c>
      <c r="E54" s="380">
        <v>134</v>
      </c>
      <c r="F54" s="303" t="s">
        <v>332</v>
      </c>
      <c r="G54" s="526" t="s">
        <v>337</v>
      </c>
      <c r="I54" s="515"/>
      <c r="J54" s="266"/>
      <c r="K54" s="266"/>
      <c r="L54" s="266"/>
      <c r="M54" s="526"/>
      <c r="O54" s="339"/>
      <c r="P54" s="266"/>
      <c r="Q54" s="419"/>
      <c r="R54" s="419"/>
      <c r="S54" s="511"/>
      <c r="U54" s="339"/>
      <c r="V54" s="384"/>
      <c r="W54" s="615"/>
      <c r="X54" s="303"/>
      <c r="Y54" s="303"/>
      <c r="Z54" s="534"/>
    </row>
    <row r="55" spans="3:47" ht="11.25" customHeight="1" x14ac:dyDescent="0.2">
      <c r="C55" s="339">
        <v>44150</v>
      </c>
      <c r="D55" s="303" t="s">
        <v>333</v>
      </c>
      <c r="E55" s="380">
        <v>94</v>
      </c>
      <c r="F55" s="303" t="s">
        <v>334</v>
      </c>
      <c r="G55" s="526" t="s">
        <v>337</v>
      </c>
      <c r="I55" s="515"/>
      <c r="J55" s="266"/>
      <c r="K55" s="266"/>
      <c r="L55" s="266"/>
      <c r="M55" s="527"/>
      <c r="O55" s="339"/>
      <c r="P55" s="266"/>
      <c r="Q55" s="419"/>
      <c r="R55" s="419"/>
      <c r="S55" s="511"/>
      <c r="U55" s="339"/>
      <c r="V55" s="384"/>
      <c r="W55" s="615"/>
      <c r="X55" s="303"/>
      <c r="Y55" s="303"/>
      <c r="Z55" s="534"/>
    </row>
    <row r="56" spans="3:47" ht="11.25" customHeight="1" x14ac:dyDescent="0.2">
      <c r="C56" s="339">
        <v>44150</v>
      </c>
      <c r="D56" s="303" t="s">
        <v>326</v>
      </c>
      <c r="E56" s="380">
        <v>21</v>
      </c>
      <c r="F56" s="303" t="s">
        <v>332</v>
      </c>
      <c r="G56" s="526" t="s">
        <v>337</v>
      </c>
      <c r="I56" s="507"/>
      <c r="J56" s="266"/>
      <c r="K56" s="266"/>
      <c r="L56" s="266"/>
      <c r="M56" s="527"/>
      <c r="O56" s="513"/>
      <c r="P56" s="266"/>
      <c r="Q56" s="419"/>
      <c r="R56" s="419"/>
      <c r="S56" s="511"/>
      <c r="U56" s="339"/>
      <c r="V56" s="384"/>
      <c r="W56" s="615"/>
      <c r="X56" s="303"/>
      <c r="Y56" s="303"/>
      <c r="Z56" s="534"/>
    </row>
    <row r="57" spans="3:47" ht="11.25" customHeight="1" x14ac:dyDescent="0.2">
      <c r="C57" s="339">
        <v>44156</v>
      </c>
      <c r="D57" s="303" t="s">
        <v>324</v>
      </c>
      <c r="E57" s="380">
        <v>117</v>
      </c>
      <c r="F57" s="303" t="s">
        <v>325</v>
      </c>
      <c r="G57" s="526" t="s">
        <v>337</v>
      </c>
      <c r="I57" s="507"/>
      <c r="J57" s="266"/>
      <c r="K57" s="266"/>
      <c r="L57" s="266"/>
      <c r="M57" s="527"/>
      <c r="O57" s="513"/>
      <c r="P57" s="266"/>
      <c r="Q57" s="419"/>
      <c r="R57" s="419"/>
      <c r="S57" s="511"/>
      <c r="U57" s="339"/>
      <c r="V57" s="384"/>
      <c r="W57" s="615"/>
      <c r="X57" s="303"/>
      <c r="Y57" s="303"/>
      <c r="Z57" s="534"/>
    </row>
    <row r="58" spans="3:47" ht="11.25" customHeight="1" x14ac:dyDescent="0.2">
      <c r="C58" s="339">
        <v>44159</v>
      </c>
      <c r="D58" s="303" t="s">
        <v>326</v>
      </c>
      <c r="E58" s="380">
        <v>67</v>
      </c>
      <c r="F58" s="303" t="s">
        <v>327</v>
      </c>
      <c r="G58" s="526" t="s">
        <v>337</v>
      </c>
      <c r="I58" s="507"/>
      <c r="J58" s="266"/>
      <c r="K58" s="266"/>
      <c r="L58" s="266"/>
      <c r="M58" s="527"/>
      <c r="O58" s="513"/>
      <c r="P58" s="266"/>
      <c r="Q58" s="419"/>
      <c r="R58" s="419"/>
      <c r="S58" s="511"/>
      <c r="U58" s="339"/>
      <c r="V58" s="384"/>
      <c r="W58" s="615"/>
      <c r="X58" s="303"/>
      <c r="Y58" s="303"/>
      <c r="Z58" s="534"/>
    </row>
    <row r="59" spans="3:47" ht="11.25" customHeight="1" x14ac:dyDescent="0.2">
      <c r="C59" s="339">
        <v>44165</v>
      </c>
      <c r="D59" s="303" t="s">
        <v>333</v>
      </c>
      <c r="E59" s="380">
        <v>58</v>
      </c>
      <c r="F59" s="303" t="s">
        <v>335</v>
      </c>
      <c r="G59" s="526" t="s">
        <v>337</v>
      </c>
      <c r="I59" s="507"/>
      <c r="J59" s="266"/>
      <c r="K59" s="266"/>
      <c r="L59" s="266"/>
      <c r="M59" s="527"/>
      <c r="O59" s="513"/>
      <c r="P59" s="266"/>
      <c r="Q59" s="419"/>
      <c r="R59" s="419"/>
      <c r="S59" s="511"/>
      <c r="U59" s="339"/>
      <c r="V59" s="384"/>
      <c r="W59" s="615"/>
      <c r="X59" s="303"/>
      <c r="Y59" s="303"/>
      <c r="Z59" s="534"/>
    </row>
    <row r="60" spans="3:47" ht="11.25" customHeight="1" x14ac:dyDescent="0.2">
      <c r="C60" s="339">
        <v>44165</v>
      </c>
      <c r="D60" s="303" t="s">
        <v>326</v>
      </c>
      <c r="E60" s="380">
        <v>66</v>
      </c>
      <c r="F60" s="303" t="s">
        <v>327</v>
      </c>
      <c r="G60" s="526" t="s">
        <v>337</v>
      </c>
      <c r="I60" s="507"/>
      <c r="J60" s="266"/>
      <c r="K60" s="266"/>
      <c r="L60" s="266"/>
      <c r="M60" s="527"/>
      <c r="O60" s="513"/>
      <c r="P60" s="266"/>
      <c r="Q60" s="419"/>
      <c r="R60" s="419"/>
      <c r="S60" s="511"/>
      <c r="U60" s="339"/>
      <c r="V60" s="384"/>
      <c r="W60" s="615"/>
      <c r="X60" s="303"/>
      <c r="Y60" s="303"/>
      <c r="Z60" s="534"/>
    </row>
    <row r="61" spans="3:47" ht="11.25" customHeight="1" x14ac:dyDescent="0.2">
      <c r="C61" s="339">
        <v>44165</v>
      </c>
      <c r="D61" s="303" t="s">
        <v>324</v>
      </c>
      <c r="E61" s="380">
        <v>56</v>
      </c>
      <c r="F61" s="303" t="s">
        <v>325</v>
      </c>
      <c r="G61" s="526" t="s">
        <v>337</v>
      </c>
      <c r="I61" s="507"/>
      <c r="J61" s="266"/>
      <c r="K61" s="266"/>
      <c r="L61" s="266"/>
      <c r="M61" s="527"/>
      <c r="O61" s="513"/>
      <c r="P61" s="266"/>
      <c r="Q61" s="419"/>
      <c r="R61" s="419"/>
      <c r="S61" s="511"/>
      <c r="U61" s="339"/>
      <c r="V61" s="384"/>
      <c r="W61" s="615"/>
      <c r="X61" s="303"/>
      <c r="Y61" s="303"/>
      <c r="Z61" s="534"/>
    </row>
    <row r="62" spans="3:47" ht="11.25" customHeight="1" x14ac:dyDescent="0.2">
      <c r="C62" s="339">
        <v>44165</v>
      </c>
      <c r="D62" s="303" t="s">
        <v>328</v>
      </c>
      <c r="E62" s="380">
        <v>138</v>
      </c>
      <c r="F62" s="303" t="s">
        <v>336</v>
      </c>
      <c r="G62" s="526" t="s">
        <v>337</v>
      </c>
      <c r="I62" s="507"/>
      <c r="J62" s="266"/>
      <c r="K62" s="266"/>
      <c r="L62" s="266"/>
      <c r="M62" s="527"/>
      <c r="O62" s="513"/>
      <c r="P62" s="266"/>
      <c r="Q62" s="419"/>
      <c r="R62" s="419"/>
      <c r="S62" s="511"/>
      <c r="U62" s="339"/>
      <c r="V62" s="384"/>
      <c r="W62" s="615"/>
      <c r="X62" s="303"/>
      <c r="Y62" s="303"/>
      <c r="Z62" s="534"/>
    </row>
    <row r="63" spans="3:47" ht="11.25" customHeight="1" x14ac:dyDescent="0.2">
      <c r="C63" s="339"/>
      <c r="D63" s="303"/>
      <c r="E63" s="380"/>
      <c r="F63" s="303"/>
      <c r="G63" s="527"/>
      <c r="I63" s="507"/>
      <c r="J63" s="266"/>
      <c r="K63" s="266"/>
      <c r="L63" s="266"/>
      <c r="M63" s="527"/>
      <c r="O63" s="513"/>
      <c r="P63" s="266"/>
      <c r="Q63" s="419"/>
      <c r="R63" s="419"/>
      <c r="S63" s="511"/>
      <c r="U63" s="339"/>
      <c r="V63" s="384"/>
      <c r="W63" s="615"/>
      <c r="X63" s="303"/>
      <c r="Y63" s="303"/>
      <c r="Z63" s="534"/>
    </row>
    <row r="64" spans="3:47" ht="11.25" customHeight="1" x14ac:dyDescent="0.2">
      <c r="C64" s="339"/>
      <c r="D64" s="303"/>
      <c r="E64" s="380"/>
      <c r="F64" s="303"/>
      <c r="G64" s="527"/>
      <c r="I64" s="507"/>
      <c r="J64" s="266"/>
      <c r="K64" s="266"/>
      <c r="L64" s="266"/>
      <c r="M64" s="527"/>
      <c r="O64" s="513"/>
      <c r="P64" s="266"/>
      <c r="Q64" s="419"/>
      <c r="R64" s="419"/>
      <c r="S64" s="511"/>
      <c r="U64" s="339"/>
      <c r="V64" s="384"/>
      <c r="W64" s="615"/>
      <c r="X64" s="303"/>
      <c r="Y64" s="303"/>
      <c r="Z64" s="534"/>
    </row>
    <row r="65" spans="3:26" ht="11.25" customHeight="1" x14ac:dyDescent="0.2">
      <c r="C65" s="339"/>
      <c r="D65" s="303"/>
      <c r="E65" s="380"/>
      <c r="F65" s="303"/>
      <c r="G65" s="527"/>
      <c r="I65" s="507"/>
      <c r="J65" s="266"/>
      <c r="K65" s="266"/>
      <c r="L65" s="266"/>
      <c r="M65" s="527"/>
      <c r="O65" s="513"/>
      <c r="P65" s="266"/>
      <c r="Q65" s="419"/>
      <c r="R65" s="419"/>
      <c r="S65" s="511"/>
      <c r="U65" s="339"/>
      <c r="V65" s="384"/>
      <c r="W65" s="615"/>
      <c r="X65" s="303"/>
      <c r="Y65" s="303"/>
      <c r="Z65" s="534"/>
    </row>
    <row r="66" spans="3:26" ht="11.25" customHeight="1" x14ac:dyDescent="0.2">
      <c r="C66" s="339"/>
      <c r="D66" s="303"/>
      <c r="E66" s="380"/>
      <c r="F66" s="303"/>
      <c r="G66" s="527"/>
      <c r="I66" s="507"/>
      <c r="J66" s="266"/>
      <c r="K66" s="266"/>
      <c r="L66" s="266"/>
      <c r="M66" s="527"/>
      <c r="O66" s="513"/>
      <c r="P66" s="266"/>
      <c r="Q66" s="419"/>
      <c r="R66" s="419"/>
      <c r="S66" s="511"/>
      <c r="U66" s="339"/>
      <c r="V66" s="384"/>
      <c r="W66" s="615"/>
      <c r="X66" s="303"/>
      <c r="Y66" s="303"/>
      <c r="Z66" s="534"/>
    </row>
    <row r="67" spans="3:26" ht="11.25" customHeight="1" x14ac:dyDescent="0.2">
      <c r="C67" s="339"/>
      <c r="D67" s="303"/>
      <c r="E67" s="380"/>
      <c r="F67" s="303"/>
      <c r="G67" s="527"/>
      <c r="I67" s="507"/>
      <c r="J67" s="266"/>
      <c r="K67" s="266"/>
      <c r="L67" s="266"/>
      <c r="M67" s="527"/>
      <c r="O67" s="513"/>
      <c r="P67" s="266"/>
      <c r="Q67" s="266"/>
      <c r="R67" s="539"/>
      <c r="S67" s="511"/>
      <c r="U67" s="339"/>
      <c r="V67" s="384"/>
      <c r="W67" s="615"/>
      <c r="X67" s="303"/>
      <c r="Y67" s="303"/>
      <c r="Z67" s="534"/>
    </row>
    <row r="68" spans="3:26" ht="11.25" customHeight="1" x14ac:dyDescent="0.2">
      <c r="C68" s="339"/>
      <c r="D68" s="303"/>
      <c r="E68" s="380"/>
      <c r="F68" s="303"/>
      <c r="G68" s="527"/>
      <c r="I68" s="507"/>
      <c r="J68" s="266"/>
      <c r="K68" s="266"/>
      <c r="L68" s="266"/>
      <c r="M68" s="527"/>
      <c r="O68" s="513"/>
      <c r="P68" s="266"/>
      <c r="Q68" s="266"/>
      <c r="R68" s="539"/>
      <c r="S68" s="511"/>
      <c r="U68" s="339"/>
      <c r="V68" s="384"/>
      <c r="W68" s="615"/>
      <c r="X68" s="303"/>
      <c r="Y68" s="303"/>
      <c r="Z68" s="534"/>
    </row>
    <row r="69" spans="3:26" ht="11.25" customHeight="1" x14ac:dyDescent="0.2">
      <c r="C69" s="339"/>
      <c r="D69" s="303"/>
      <c r="E69" s="380"/>
      <c r="F69" s="303"/>
      <c r="G69" s="527"/>
      <c r="I69" s="507"/>
      <c r="J69" s="266"/>
      <c r="K69" s="266"/>
      <c r="L69" s="266"/>
      <c r="M69" s="527"/>
      <c r="O69" s="513"/>
      <c r="P69" s="266"/>
      <c r="Q69" s="266"/>
      <c r="R69" s="419"/>
      <c r="S69" s="511"/>
      <c r="U69" s="339"/>
      <c r="V69" s="384"/>
      <c r="W69" s="615"/>
      <c r="X69" s="303"/>
      <c r="Y69" s="303"/>
      <c r="Z69" s="534"/>
    </row>
    <row r="70" spans="3:26" ht="11.25" customHeight="1" x14ac:dyDescent="0.2">
      <c r="C70" s="339"/>
      <c r="D70" s="303"/>
      <c r="E70" s="380"/>
      <c r="F70" s="303"/>
      <c r="G70" s="527"/>
      <c r="I70" s="507"/>
      <c r="J70" s="266"/>
      <c r="K70" s="266"/>
      <c r="L70" s="266"/>
      <c r="M70" s="527"/>
      <c r="O70" s="513"/>
      <c r="P70" s="266"/>
      <c r="Q70" s="266"/>
      <c r="R70" s="419"/>
      <c r="S70" s="511"/>
      <c r="U70" s="339"/>
      <c r="V70" s="384"/>
      <c r="W70" s="615"/>
      <c r="X70" s="303"/>
      <c r="Y70" s="303"/>
      <c r="Z70" s="534"/>
    </row>
    <row r="71" spans="3:26" ht="11.25" customHeight="1" x14ac:dyDescent="0.2">
      <c r="C71" s="339"/>
      <c r="D71" s="303"/>
      <c r="E71" s="380"/>
      <c r="F71" s="303"/>
      <c r="G71" s="527"/>
      <c r="I71" s="507"/>
      <c r="J71" s="266"/>
      <c r="K71" s="266"/>
      <c r="L71" s="266"/>
      <c r="M71" s="527"/>
      <c r="O71" s="513"/>
      <c r="P71" s="266"/>
      <c r="Q71" s="266"/>
      <c r="R71" s="419"/>
      <c r="S71" s="511"/>
      <c r="U71" s="339"/>
      <c r="V71" s="384"/>
      <c r="W71" s="615"/>
      <c r="X71" s="303"/>
      <c r="Y71" s="303"/>
      <c r="Z71" s="534"/>
    </row>
    <row r="72" spans="3:26" ht="11.25" customHeight="1" x14ac:dyDescent="0.2">
      <c r="C72" s="339"/>
      <c r="D72" s="303"/>
      <c r="E72" s="380"/>
      <c r="F72" s="303"/>
      <c r="G72" s="527"/>
      <c r="I72" s="507"/>
      <c r="J72" s="266"/>
      <c r="K72" s="266"/>
      <c r="L72" s="266"/>
      <c r="M72" s="527"/>
      <c r="O72" s="513"/>
      <c r="P72" s="266"/>
      <c r="Q72" s="266"/>
      <c r="R72" s="419"/>
      <c r="S72" s="511"/>
      <c r="U72" s="339"/>
      <c r="V72" s="384"/>
      <c r="W72" s="615"/>
      <c r="X72" s="303"/>
      <c r="Y72" s="303"/>
      <c r="Z72" s="534"/>
    </row>
    <row r="73" spans="3:26" ht="11.25" customHeight="1" x14ac:dyDescent="0.2">
      <c r="C73" s="339"/>
      <c r="D73" s="303"/>
      <c r="E73" s="380"/>
      <c r="F73" s="303"/>
      <c r="G73" s="527"/>
      <c r="I73" s="508"/>
      <c r="J73" s="268"/>
      <c r="K73" s="268"/>
      <c r="L73" s="268"/>
      <c r="M73" s="527"/>
      <c r="O73" s="513"/>
      <c r="P73" s="266"/>
      <c r="Q73" s="266"/>
      <c r="R73" s="540"/>
      <c r="S73" s="511"/>
      <c r="U73" s="339"/>
      <c r="V73" s="384"/>
      <c r="W73" s="615"/>
      <c r="X73" s="303"/>
      <c r="Y73" s="303"/>
      <c r="Z73" s="534"/>
    </row>
    <row r="74" spans="3:26" ht="11.25" customHeight="1" x14ac:dyDescent="0.2">
      <c r="C74" s="339"/>
      <c r="D74" s="303"/>
      <c r="E74" s="380"/>
      <c r="F74" s="303"/>
      <c r="G74" s="527"/>
      <c r="I74" s="507"/>
      <c r="J74" s="266"/>
      <c r="K74" s="266"/>
      <c r="L74" s="266"/>
      <c r="M74" s="527"/>
      <c r="O74" s="513"/>
      <c r="P74" s="266"/>
      <c r="Q74" s="266"/>
      <c r="R74" s="419"/>
      <c r="S74" s="511"/>
      <c r="U74" s="339"/>
      <c r="V74" s="384"/>
      <c r="W74" s="615"/>
      <c r="X74" s="303"/>
      <c r="Y74" s="303"/>
      <c r="Z74" s="534"/>
    </row>
    <row r="75" spans="3:26" ht="11.25" customHeight="1" x14ac:dyDescent="0.2">
      <c r="C75" s="339"/>
      <c r="D75" s="303"/>
      <c r="E75" s="380"/>
      <c r="F75" s="303"/>
      <c r="G75" s="527"/>
      <c r="I75" s="507"/>
      <c r="J75" s="266"/>
      <c r="K75" s="266"/>
      <c r="L75" s="266"/>
      <c r="M75" s="527"/>
      <c r="O75" s="513"/>
      <c r="P75" s="266"/>
      <c r="Q75" s="266"/>
      <c r="R75" s="419"/>
      <c r="S75" s="511"/>
      <c r="U75" s="339"/>
      <c r="V75" s="384"/>
      <c r="W75" s="615"/>
      <c r="X75" s="303"/>
      <c r="Y75" s="303"/>
      <c r="Z75" s="534"/>
    </row>
    <row r="76" spans="3:26" ht="9.75" customHeight="1" x14ac:dyDescent="0.2">
      <c r="C76" s="339"/>
      <c r="D76" s="303"/>
      <c r="E76" s="380"/>
      <c r="F76" s="303"/>
      <c r="G76" s="527"/>
      <c r="I76" s="507"/>
      <c r="J76" s="266"/>
      <c r="K76" s="266"/>
      <c r="L76" s="266"/>
      <c r="M76" s="527"/>
      <c r="O76" s="513"/>
      <c r="P76" s="266"/>
      <c r="Q76" s="266"/>
      <c r="R76" s="419"/>
      <c r="S76" s="511"/>
      <c r="U76" s="339"/>
      <c r="V76" s="384"/>
      <c r="W76" s="615"/>
      <c r="X76" s="303"/>
      <c r="Y76" s="303"/>
      <c r="Z76" s="534"/>
    </row>
    <row r="77" spans="3:26" ht="11.25" hidden="1" customHeight="1" x14ac:dyDescent="0.2">
      <c r="C77" s="339"/>
      <c r="D77" s="303"/>
      <c r="E77" s="380"/>
      <c r="F77" s="303"/>
      <c r="G77" s="527"/>
      <c r="I77" s="507"/>
      <c r="J77" s="266"/>
      <c r="K77" s="266"/>
      <c r="L77" s="266"/>
      <c r="M77" s="527"/>
      <c r="O77" s="513"/>
      <c r="P77" s="266"/>
      <c r="Q77" s="266"/>
      <c r="R77" s="419"/>
      <c r="S77" s="511"/>
      <c r="U77" s="339"/>
      <c r="V77" s="384"/>
      <c r="W77" s="614"/>
      <c r="X77" s="303"/>
      <c r="Y77" s="303"/>
      <c r="Z77" s="534"/>
    </row>
    <row r="78" spans="3:26" ht="11.25" customHeight="1" x14ac:dyDescent="0.2">
      <c r="C78" s="339"/>
      <c r="D78" s="303"/>
      <c r="E78" s="380"/>
      <c r="F78" s="303"/>
      <c r="G78" s="527"/>
      <c r="I78" s="507"/>
      <c r="J78" s="419"/>
      <c r="K78" s="419"/>
      <c r="L78" s="266"/>
      <c r="M78" s="527"/>
      <c r="O78" s="513"/>
      <c r="P78" s="266"/>
      <c r="Q78" s="266"/>
      <c r="R78" s="419"/>
      <c r="S78" s="511"/>
      <c r="U78" s="339"/>
      <c r="V78" s="384"/>
      <c r="W78" s="303"/>
      <c r="X78" s="303"/>
      <c r="Y78" s="303"/>
      <c r="Z78" s="534"/>
    </row>
    <row r="79" spans="3:26" ht="11.25" customHeight="1" x14ac:dyDescent="0.2">
      <c r="C79" s="339"/>
      <c r="D79" s="303"/>
      <c r="E79" s="380"/>
      <c r="F79" s="303"/>
      <c r="G79" s="527"/>
      <c r="I79" s="507"/>
      <c r="J79" s="266"/>
      <c r="K79" s="266"/>
      <c r="L79" s="266"/>
      <c r="M79" s="527"/>
      <c r="O79" s="513"/>
      <c r="P79" s="266"/>
      <c r="Q79" s="266"/>
      <c r="R79" s="419"/>
      <c r="S79" s="511"/>
      <c r="U79" s="339"/>
      <c r="V79" s="384"/>
      <c r="W79" s="303"/>
      <c r="X79" s="303"/>
      <c r="Y79" s="303"/>
      <c r="Z79" s="534"/>
    </row>
    <row r="80" spans="3:26" ht="11.25" customHeight="1" x14ac:dyDescent="0.2">
      <c r="C80" s="339"/>
      <c r="D80" s="303"/>
      <c r="E80" s="380"/>
      <c r="F80" s="303"/>
      <c r="G80" s="527"/>
      <c r="I80" s="507"/>
      <c r="J80" s="266"/>
      <c r="K80" s="266"/>
      <c r="L80" s="266"/>
      <c r="M80" s="527"/>
      <c r="O80" s="513"/>
      <c r="P80" s="266"/>
      <c r="Q80" s="266"/>
      <c r="R80" s="419"/>
      <c r="S80" s="511"/>
      <c r="U80" s="339"/>
      <c r="V80" s="384"/>
      <c r="W80" s="303"/>
      <c r="X80" s="303"/>
      <c r="Y80" s="303"/>
      <c r="Z80" s="534"/>
    </row>
    <row r="81" spans="3:26" ht="11.25" customHeight="1" x14ac:dyDescent="0.2">
      <c r="C81" s="339"/>
      <c r="D81" s="303"/>
      <c r="E81" s="380"/>
      <c r="F81" s="303"/>
      <c r="G81" s="527"/>
      <c r="I81" s="507"/>
      <c r="J81" s="266"/>
      <c r="K81" s="266"/>
      <c r="L81" s="266"/>
      <c r="M81" s="527"/>
      <c r="O81" s="513"/>
      <c r="P81" s="266"/>
      <c r="Q81" s="266"/>
      <c r="R81" s="419"/>
      <c r="S81" s="511"/>
      <c r="U81" s="339"/>
      <c r="V81" s="384"/>
      <c r="W81" s="303"/>
      <c r="X81" s="303"/>
      <c r="Y81" s="303"/>
      <c r="Z81" s="534"/>
    </row>
    <row r="82" spans="3:26" ht="11.25" customHeight="1" x14ac:dyDescent="0.2">
      <c r="C82" s="339"/>
      <c r="D82" s="303"/>
      <c r="E82" s="380"/>
      <c r="F82" s="303"/>
      <c r="G82" s="527"/>
      <c r="I82" s="507"/>
      <c r="J82" s="266"/>
      <c r="K82" s="266"/>
      <c r="L82" s="266"/>
      <c r="M82" s="527"/>
      <c r="O82" s="513"/>
      <c r="P82" s="266"/>
      <c r="Q82" s="266"/>
      <c r="R82" s="419"/>
      <c r="S82" s="511"/>
      <c r="U82" s="339"/>
      <c r="V82" s="384"/>
      <c r="W82" s="303"/>
      <c r="X82" s="303"/>
      <c r="Y82" s="303"/>
      <c r="Z82" s="534"/>
    </row>
    <row r="83" spans="3:26" ht="11.25" customHeight="1" x14ac:dyDescent="0.2">
      <c r="C83" s="339"/>
      <c r="D83" s="303"/>
      <c r="E83" s="380"/>
      <c r="F83" s="303"/>
      <c r="G83" s="527"/>
      <c r="I83" s="507"/>
      <c r="J83" s="266"/>
      <c r="K83" s="266"/>
      <c r="L83" s="266"/>
      <c r="M83" s="527"/>
      <c r="O83" s="513"/>
      <c r="P83" s="266"/>
      <c r="Q83" s="266"/>
      <c r="R83" s="419"/>
      <c r="S83" s="511"/>
      <c r="U83" s="339"/>
      <c r="V83" s="384"/>
      <c r="W83" s="303"/>
      <c r="X83" s="303"/>
      <c r="Y83" s="303"/>
      <c r="Z83" s="534"/>
    </row>
    <row r="84" spans="3:26" ht="11.25" customHeight="1" x14ac:dyDescent="0.2">
      <c r="C84" s="339"/>
      <c r="D84" s="303"/>
      <c r="E84" s="380"/>
      <c r="F84" s="303"/>
      <c r="G84" s="527"/>
      <c r="I84" s="507"/>
      <c r="J84" s="266"/>
      <c r="K84" s="266"/>
      <c r="L84" s="266"/>
      <c r="M84" s="527"/>
      <c r="O84" s="513"/>
      <c r="P84" s="266"/>
      <c r="Q84" s="266"/>
      <c r="R84" s="419"/>
      <c r="S84" s="511"/>
      <c r="U84" s="339"/>
      <c r="V84" s="384"/>
      <c r="W84" s="303"/>
      <c r="X84" s="303"/>
      <c r="Y84" s="303"/>
      <c r="Z84" s="534"/>
    </row>
    <row r="85" spans="3:26" ht="11.25" customHeight="1" x14ac:dyDescent="0.2">
      <c r="C85" s="339"/>
      <c r="D85" s="303"/>
      <c r="E85" s="380"/>
      <c r="F85" s="303"/>
      <c r="G85" s="527"/>
      <c r="I85" s="507"/>
      <c r="J85" s="266"/>
      <c r="K85" s="266"/>
      <c r="L85" s="266"/>
      <c r="M85" s="527"/>
      <c r="O85" s="513"/>
      <c r="P85" s="266"/>
      <c r="Q85" s="266"/>
      <c r="R85" s="419"/>
      <c r="S85" s="511"/>
      <c r="U85" s="339"/>
      <c r="V85" s="303"/>
      <c r="W85" s="303"/>
      <c r="X85" s="303"/>
      <c r="Y85" s="303"/>
      <c r="Z85" s="534"/>
    </row>
    <row r="86" spans="3:26" ht="11.25" customHeight="1" x14ac:dyDescent="0.2">
      <c r="C86" s="339"/>
      <c r="D86" s="303"/>
      <c r="E86" s="380"/>
      <c r="F86" s="303"/>
      <c r="G86" s="527"/>
      <c r="I86" s="507"/>
      <c r="J86" s="266"/>
      <c r="K86" s="266"/>
      <c r="L86" s="266"/>
      <c r="M86" s="527"/>
      <c r="O86" s="513"/>
      <c r="P86" s="266"/>
      <c r="Q86" s="266"/>
      <c r="R86" s="419"/>
      <c r="S86" s="511"/>
      <c r="U86" s="339"/>
      <c r="V86" s="303"/>
      <c r="W86" s="303"/>
      <c r="X86" s="303"/>
      <c r="Y86" s="303"/>
      <c r="Z86" s="534"/>
    </row>
    <row r="87" spans="3:26" ht="11.25" customHeight="1" x14ac:dyDescent="0.2">
      <c r="C87" s="339"/>
      <c r="D87" s="303"/>
      <c r="E87" s="380"/>
      <c r="F87" s="303"/>
      <c r="G87" s="527"/>
      <c r="I87" s="507"/>
      <c r="J87" s="266"/>
      <c r="K87" s="266"/>
      <c r="L87" s="266"/>
      <c r="M87" s="527"/>
      <c r="O87" s="513"/>
      <c r="P87" s="266"/>
      <c r="Q87" s="266"/>
      <c r="R87" s="419"/>
      <c r="S87" s="511"/>
      <c r="U87" s="339"/>
      <c r="V87" s="303"/>
      <c r="W87" s="303"/>
      <c r="X87" s="303"/>
      <c r="Y87" s="303"/>
      <c r="Z87" s="534"/>
    </row>
    <row r="88" spans="3:26" ht="11.25" customHeight="1" x14ac:dyDescent="0.2">
      <c r="C88" s="339"/>
      <c r="D88" s="303"/>
      <c r="E88" s="380"/>
      <c r="F88" s="303"/>
      <c r="G88" s="527"/>
      <c r="I88" s="507"/>
      <c r="J88" s="266"/>
      <c r="K88" s="266"/>
      <c r="L88" s="266"/>
      <c r="M88" s="527"/>
      <c r="O88" s="513"/>
      <c r="P88" s="266"/>
      <c r="Q88" s="266"/>
      <c r="R88" s="419"/>
      <c r="S88" s="511"/>
      <c r="U88" s="339"/>
      <c r="V88" s="303"/>
      <c r="W88" s="303"/>
      <c r="X88" s="303"/>
      <c r="Y88" s="303"/>
      <c r="Z88" s="534"/>
    </row>
    <row r="89" spans="3:26" ht="11.25" customHeight="1" x14ac:dyDescent="0.2">
      <c r="C89" s="339"/>
      <c r="D89" s="303"/>
      <c r="E89" s="380"/>
      <c r="F89" s="303"/>
      <c r="G89" s="527"/>
      <c r="I89" s="507"/>
      <c r="J89" s="266"/>
      <c r="K89" s="266"/>
      <c r="L89" s="266"/>
      <c r="M89" s="527"/>
      <c r="O89" s="513"/>
      <c r="P89" s="266"/>
      <c r="Q89" s="266"/>
      <c r="R89" s="419"/>
      <c r="S89" s="511"/>
      <c r="U89" s="339"/>
      <c r="V89" s="303"/>
      <c r="W89" s="303"/>
      <c r="X89" s="303"/>
      <c r="Y89" s="303"/>
      <c r="Z89" s="534"/>
    </row>
    <row r="90" spans="3:26" ht="11.25" customHeight="1" x14ac:dyDescent="0.2">
      <c r="C90" s="339"/>
      <c r="D90" s="303"/>
      <c r="E90" s="380"/>
      <c r="F90" s="303"/>
      <c r="G90" s="527"/>
      <c r="I90" s="507"/>
      <c r="J90" s="266"/>
      <c r="K90" s="266"/>
      <c r="L90" s="266"/>
      <c r="M90" s="527"/>
      <c r="O90" s="513"/>
      <c r="P90" s="266"/>
      <c r="Q90" s="266"/>
      <c r="R90" s="419"/>
      <c r="S90" s="511"/>
      <c r="U90" s="339"/>
      <c r="V90" s="303"/>
      <c r="W90" s="303"/>
      <c r="X90" s="303"/>
      <c r="Y90" s="303"/>
      <c r="Z90" s="534"/>
    </row>
    <row r="91" spans="3:26" x14ac:dyDescent="0.2">
      <c r="C91" s="339"/>
      <c r="D91" s="303"/>
      <c r="E91" s="380"/>
      <c r="F91" s="303"/>
      <c r="G91" s="527"/>
      <c r="I91" s="507"/>
      <c r="J91" s="266"/>
      <c r="K91" s="266"/>
      <c r="L91" s="266"/>
      <c r="M91" s="527"/>
      <c r="O91" s="513"/>
      <c r="P91" s="266"/>
      <c r="Q91" s="266"/>
      <c r="R91" s="419"/>
      <c r="S91" s="511"/>
      <c r="U91" s="339"/>
      <c r="V91" s="303"/>
      <c r="W91" s="303"/>
      <c r="X91" s="303"/>
      <c r="Y91" s="303"/>
      <c r="Z91" s="534"/>
    </row>
    <row r="92" spans="3:26" x14ac:dyDescent="0.2">
      <c r="C92" s="339"/>
      <c r="D92" s="303"/>
      <c r="E92" s="380"/>
      <c r="F92" s="303"/>
      <c r="G92" s="527"/>
      <c r="I92" s="507"/>
      <c r="J92" s="266"/>
      <c r="K92" s="266"/>
      <c r="L92" s="266"/>
      <c r="M92" s="527"/>
      <c r="O92" s="513"/>
      <c r="P92" s="266"/>
      <c r="Q92" s="266"/>
      <c r="R92" s="419"/>
      <c r="S92" s="511"/>
      <c r="U92" s="339"/>
      <c r="V92" s="303"/>
      <c r="W92" s="303"/>
      <c r="X92" s="303"/>
      <c r="Y92" s="303"/>
      <c r="Z92" s="534"/>
    </row>
    <row r="93" spans="3:26" x14ac:dyDescent="0.2">
      <c r="C93" s="339"/>
      <c r="D93" s="303"/>
      <c r="E93" s="380"/>
      <c r="F93" s="303"/>
      <c r="G93" s="527"/>
      <c r="I93" s="507"/>
      <c r="J93" s="266"/>
      <c r="K93" s="266"/>
      <c r="L93" s="266"/>
      <c r="M93" s="527"/>
      <c r="O93" s="513"/>
      <c r="P93" s="266"/>
      <c r="Q93" s="266"/>
      <c r="R93" s="419"/>
      <c r="S93" s="511"/>
      <c r="U93" s="339"/>
      <c r="V93" s="303"/>
      <c r="W93" s="303"/>
      <c r="X93" s="303"/>
      <c r="Y93" s="303"/>
      <c r="Z93" s="534"/>
    </row>
    <row r="94" spans="3:26" x14ac:dyDescent="0.2">
      <c r="C94" s="339"/>
      <c r="D94" s="303"/>
      <c r="E94" s="380"/>
      <c r="F94" s="303"/>
      <c r="G94" s="527"/>
      <c r="I94" s="507"/>
      <c r="J94" s="266"/>
      <c r="K94" s="266"/>
      <c r="L94" s="266"/>
      <c r="M94" s="527"/>
      <c r="O94" s="513"/>
      <c r="P94" s="266"/>
      <c r="Q94" s="266"/>
      <c r="R94" s="419"/>
      <c r="S94" s="511"/>
      <c r="U94" s="339"/>
      <c r="V94" s="303"/>
      <c r="W94" s="303"/>
      <c r="X94" s="303"/>
      <c r="Y94" s="303"/>
      <c r="Z94" s="534"/>
    </row>
    <row r="95" spans="3:26" x14ac:dyDescent="0.2">
      <c r="C95" s="339"/>
      <c r="D95" s="303"/>
      <c r="E95" s="380"/>
      <c r="F95" s="303"/>
      <c r="G95" s="527"/>
      <c r="I95" s="507"/>
      <c r="J95" s="266"/>
      <c r="K95" s="266"/>
      <c r="L95" s="266"/>
      <c r="M95" s="527"/>
      <c r="O95" s="513"/>
      <c r="P95" s="266"/>
      <c r="Q95" s="266"/>
      <c r="R95" s="419"/>
      <c r="S95" s="511"/>
      <c r="U95" s="339"/>
      <c r="V95" s="303"/>
      <c r="W95" s="303"/>
      <c r="X95" s="303"/>
      <c r="Y95" s="303"/>
      <c r="Z95" s="534"/>
    </row>
    <row r="96" spans="3:26" x14ac:dyDescent="0.2">
      <c r="C96" s="339"/>
      <c r="D96" s="303"/>
      <c r="E96" s="380"/>
      <c r="F96" s="303"/>
      <c r="G96" s="527"/>
      <c r="I96" s="507"/>
      <c r="J96" s="266"/>
      <c r="K96" s="266"/>
      <c r="L96" s="266"/>
      <c r="M96" s="527"/>
      <c r="O96" s="513"/>
      <c r="P96" s="266"/>
      <c r="Q96" s="266"/>
      <c r="R96" s="419"/>
      <c r="S96" s="511"/>
      <c r="U96" s="339"/>
      <c r="V96" s="303"/>
      <c r="W96" s="303"/>
      <c r="X96" s="303"/>
      <c r="Y96" s="303"/>
      <c r="Z96" s="534"/>
    </row>
    <row r="97" spans="3:26" x14ac:dyDescent="0.2">
      <c r="C97" s="339"/>
      <c r="D97" s="303"/>
      <c r="E97" s="380"/>
      <c r="F97" s="303"/>
      <c r="G97" s="527"/>
      <c r="I97" s="507"/>
      <c r="J97" s="266"/>
      <c r="K97" s="266"/>
      <c r="L97" s="266"/>
      <c r="M97" s="527"/>
      <c r="O97" s="513"/>
      <c r="P97" s="266"/>
      <c r="Q97" s="266"/>
      <c r="R97" s="419"/>
      <c r="S97" s="511"/>
      <c r="U97" s="339"/>
      <c r="V97" s="303"/>
      <c r="W97" s="303"/>
      <c r="X97" s="303"/>
      <c r="Y97" s="303"/>
      <c r="Z97" s="534"/>
    </row>
    <row r="98" spans="3:26" ht="12" thickBot="1" x14ac:dyDescent="0.25">
      <c r="C98" s="340"/>
      <c r="D98" s="341"/>
      <c r="E98" s="342"/>
      <c r="F98" s="341"/>
      <c r="G98" s="528"/>
      <c r="I98" s="509"/>
      <c r="J98" s="504"/>
      <c r="K98" s="504"/>
      <c r="L98" s="504"/>
      <c r="M98" s="528"/>
      <c r="O98" s="514"/>
      <c r="P98" s="504"/>
      <c r="Q98" s="504"/>
      <c r="R98" s="541"/>
      <c r="S98" s="512"/>
      <c r="U98" s="340"/>
      <c r="V98" s="341"/>
      <c r="W98" s="341"/>
      <c r="X98" s="341"/>
      <c r="Y98" s="341"/>
      <c r="Z98" s="535"/>
    </row>
  </sheetData>
  <mergeCells count="10">
    <mergeCell ref="I50:M50"/>
    <mergeCell ref="O50:S50"/>
    <mergeCell ref="U50:Z50"/>
    <mergeCell ref="B1:C6"/>
    <mergeCell ref="E2:AU2"/>
    <mergeCell ref="I3:K4"/>
    <mergeCell ref="G6:M6"/>
    <mergeCell ref="G7:M7"/>
    <mergeCell ref="N7:S7"/>
    <mergeCell ref="C50:G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5"/>
  <sheetViews>
    <sheetView topLeftCell="A10" workbookViewId="0">
      <selection activeCell="N12" sqref="N12:N13"/>
    </sheetView>
  </sheetViews>
  <sheetFormatPr defaultRowHeight="12.75" x14ac:dyDescent="0.2"/>
  <cols>
    <col min="2" max="2" width="10.28515625" style="12" bestFit="1" customWidth="1"/>
  </cols>
  <sheetData>
    <row r="1" spans="1:6" s="15" customFormat="1" ht="51" x14ac:dyDescent="0.2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 x14ac:dyDescent="0.2">
      <c r="A2" s="94">
        <f>Gen!B11</f>
        <v>44136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 x14ac:dyDescent="0.2">
      <c r="A3" s="94">
        <f>Gen!B12</f>
        <v>44137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 x14ac:dyDescent="0.2">
      <c r="A4" s="94">
        <f>Gen!B13</f>
        <v>44138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 x14ac:dyDescent="0.2">
      <c r="A5" s="94">
        <f>Gen!B14</f>
        <v>44139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 x14ac:dyDescent="0.2">
      <c r="A6" s="94">
        <f>Gen!B15</f>
        <v>44140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 x14ac:dyDescent="0.2">
      <c r="A7" s="94">
        <f>Gen!B16</f>
        <v>44141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 x14ac:dyDescent="0.2">
      <c r="A8" s="94">
        <f>Gen!B17</f>
        <v>44142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 x14ac:dyDescent="0.2">
      <c r="A9" s="94">
        <f>Gen!B18</f>
        <v>44143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 x14ac:dyDescent="0.2">
      <c r="A10" s="94">
        <f>Gen!B19</f>
        <v>44144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 x14ac:dyDescent="0.2">
      <c r="A11" s="94">
        <f>Gen!B20</f>
        <v>44145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 x14ac:dyDescent="0.2">
      <c r="A12" s="94">
        <f>Gen!B21</f>
        <v>44146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 x14ac:dyDescent="0.2">
      <c r="A13" s="94">
        <f>Gen!B22</f>
        <v>44147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 x14ac:dyDescent="0.2">
      <c r="A14" s="94">
        <f>Gen!B23</f>
        <v>44148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 x14ac:dyDescent="0.2">
      <c r="A15" s="94">
        <f>Gen!B24</f>
        <v>44149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 x14ac:dyDescent="0.2">
      <c r="A16" s="94">
        <f>Gen!B25</f>
        <v>44150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 x14ac:dyDescent="0.2">
      <c r="A17" s="94">
        <f>Gen!B26</f>
        <v>44151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 x14ac:dyDescent="0.2">
      <c r="A18" s="94">
        <f>Gen!B27</f>
        <v>44152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 x14ac:dyDescent="0.2">
      <c r="A19" s="94">
        <f>Gen!B28</f>
        <v>44153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 x14ac:dyDescent="0.2">
      <c r="A20" s="94">
        <f>Gen!B29</f>
        <v>44154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 x14ac:dyDescent="0.2">
      <c r="A21" s="94">
        <f>Gen!B30</f>
        <v>44155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 x14ac:dyDescent="0.2">
      <c r="A22" s="94">
        <f>Gen!B31</f>
        <v>44156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 x14ac:dyDescent="0.2">
      <c r="A23" s="94">
        <f>Gen!B32</f>
        <v>44157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 x14ac:dyDescent="0.2">
      <c r="A24" s="94">
        <f>Gen!B33</f>
        <v>44158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 x14ac:dyDescent="0.2">
      <c r="A25" s="94">
        <f>Gen!B34</f>
        <v>44159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 x14ac:dyDescent="0.2">
      <c r="A26" s="94">
        <f>Gen!B35</f>
        <v>44160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 x14ac:dyDescent="0.2">
      <c r="A27" s="94">
        <f>Gen!B36</f>
        <v>44161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 x14ac:dyDescent="0.2">
      <c r="A28" s="94">
        <f>Gen!B37</f>
        <v>44162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 x14ac:dyDescent="0.2">
      <c r="A29" s="94">
        <f>Gen!B38</f>
        <v>44163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 x14ac:dyDescent="0.2">
      <c r="A30" s="94">
        <f>Gen!B39</f>
        <v>44164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 x14ac:dyDescent="0.2">
      <c r="A31" s="94">
        <f>Gen!B40</f>
        <v>44165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 x14ac:dyDescent="0.2">
      <c r="A32" s="94">
        <f>Gen!B41</f>
        <v>44166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 x14ac:dyDescent="0.2">
      <c r="A33" s="94">
        <f>Gen!B42</f>
        <v>0</v>
      </c>
      <c r="B33" s="13">
        <f>[1]Gen!S41</f>
        <v>0</v>
      </c>
    </row>
    <row r="34" spans="1:2" x14ac:dyDescent="0.2">
      <c r="A34" s="10"/>
      <c r="B34" s="13"/>
    </row>
    <row r="35" spans="1:2" x14ac:dyDescent="0.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O61"/>
  <sheetViews>
    <sheetView zoomScale="70" zoomScaleNormal="70" workbookViewId="0">
      <selection activeCell="F39" sqref="F39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 x14ac:dyDescent="0.2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 x14ac:dyDescent="0.2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 x14ac:dyDescent="0.3">
      <c r="A3" s="33"/>
      <c r="B3" s="38"/>
      <c r="C3" s="516" t="s">
        <v>70</v>
      </c>
      <c r="D3" s="517"/>
      <c r="E3" s="517"/>
      <c r="F3" s="518"/>
      <c r="G3" s="519"/>
      <c r="H3" s="42"/>
      <c r="I3" s="42"/>
      <c r="J3" s="115"/>
    </row>
    <row r="4" spans="1:15" ht="15" x14ac:dyDescent="0.2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 x14ac:dyDescent="0.2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 x14ac:dyDescent="0.3">
      <c r="A6" s="5"/>
      <c r="B6" s="46"/>
      <c r="C6" s="925"/>
      <c r="D6" s="926"/>
      <c r="E6" s="927"/>
      <c r="F6" s="927"/>
      <c r="G6" s="49" t="s">
        <v>4</v>
      </c>
      <c r="H6" s="47" t="s">
        <v>14</v>
      </c>
      <c r="I6" s="42"/>
      <c r="J6" s="114"/>
    </row>
    <row r="7" spans="1:15" ht="18" customHeight="1" x14ac:dyDescent="0.3">
      <c r="A7" s="928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 x14ac:dyDescent="0.3">
      <c r="A8" s="929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 x14ac:dyDescent="0.3">
      <c r="A9" s="244"/>
      <c r="B9" s="269"/>
      <c r="C9" s="269"/>
      <c r="D9" s="269"/>
      <c r="E9" s="269"/>
      <c r="F9" s="269">
        <v>72984.95</v>
      </c>
      <c r="G9" s="269"/>
      <c r="H9" s="34"/>
      <c r="I9" s="21"/>
      <c r="J9" s="117"/>
      <c r="N9" s="157"/>
      <c r="O9" s="157"/>
    </row>
    <row r="10" spans="1:15" ht="18.75" x14ac:dyDescent="0.3">
      <c r="A10" s="95">
        <f>Gen!B11</f>
        <v>44136</v>
      </c>
      <c r="B10" s="269">
        <v>30</v>
      </c>
      <c r="C10" s="269">
        <v>85</v>
      </c>
      <c r="D10" s="269">
        <v>85</v>
      </c>
      <c r="E10" s="269"/>
      <c r="F10" s="269">
        <v>72984.95</v>
      </c>
      <c r="G10" s="269">
        <f t="shared" ref="G10:G40" si="0">(F10-F9)*4.4</f>
        <v>0</v>
      </c>
      <c r="H10" s="112">
        <f>Gen!C11</f>
        <v>2.5999999999999999E-2</v>
      </c>
      <c r="I10" s="6">
        <f>SUM(F10/H10)</f>
        <v>2807113.4615384615</v>
      </c>
      <c r="J10" s="117">
        <f t="shared" ref="J10:J40" si="1">SUM(G10/I10)</f>
        <v>0</v>
      </c>
      <c r="N10" s="157"/>
      <c r="O10" s="157"/>
    </row>
    <row r="11" spans="1:15" ht="18.75" x14ac:dyDescent="0.3">
      <c r="A11" s="95">
        <f>Gen!B12</f>
        <v>44137</v>
      </c>
      <c r="B11" s="269">
        <v>25</v>
      </c>
      <c r="C11" s="269">
        <v>85</v>
      </c>
      <c r="D11" s="269">
        <v>85</v>
      </c>
      <c r="E11" s="269">
        <v>85</v>
      </c>
      <c r="F11" s="269">
        <v>72998</v>
      </c>
      <c r="G11" s="269">
        <f t="shared" si="0"/>
        <v>57.420000000012813</v>
      </c>
      <c r="H11" s="112">
        <f>Gen!C12</f>
        <v>5.1900000000000002E-2</v>
      </c>
      <c r="I11" s="6">
        <f t="shared" ref="I11:I28" si="2">SUM(F11/H11)</f>
        <v>1406512.5240847783</v>
      </c>
      <c r="J11" s="117">
        <f t="shared" si="1"/>
        <v>4.0824378750111854E-5</v>
      </c>
      <c r="M11" s="157"/>
      <c r="N11" s="157"/>
    </row>
    <row r="12" spans="1:15" ht="18.75" x14ac:dyDescent="0.3">
      <c r="A12" s="95">
        <f>Gen!B13</f>
        <v>44138</v>
      </c>
      <c r="B12" s="269">
        <v>22</v>
      </c>
      <c r="C12" s="269">
        <v>85</v>
      </c>
      <c r="D12" s="269">
        <v>85</v>
      </c>
      <c r="E12" s="269"/>
      <c r="F12" s="269">
        <v>73009.399999999994</v>
      </c>
      <c r="G12" s="269">
        <f t="shared" si="0"/>
        <v>50.159999999974396</v>
      </c>
      <c r="H12" s="112">
        <f>Gen!C13</f>
        <v>7.7899999999999997E-2</v>
      </c>
      <c r="I12" s="6">
        <f t="shared" si="2"/>
        <v>937219.51219512196</v>
      </c>
      <c r="J12" s="117">
        <f t="shared" si="1"/>
        <v>5.3520012491514864E-5</v>
      </c>
      <c r="M12" s="157"/>
      <c r="N12" s="157"/>
    </row>
    <row r="13" spans="1:15" ht="18.75" x14ac:dyDescent="0.3">
      <c r="A13" s="95">
        <f>Gen!B14</f>
        <v>44139</v>
      </c>
      <c r="B13" s="269">
        <v>20</v>
      </c>
      <c r="C13" s="269">
        <v>85</v>
      </c>
      <c r="D13" s="269">
        <v>85</v>
      </c>
      <c r="E13" s="269"/>
      <c r="F13" s="269">
        <v>73022.539999999994</v>
      </c>
      <c r="G13" s="269">
        <f t="shared" si="0"/>
        <v>57.815999999997445</v>
      </c>
      <c r="H13" s="112">
        <f>Gen!C14</f>
        <v>6.4899999999999999E-2</v>
      </c>
      <c r="I13" s="6">
        <f t="shared" si="2"/>
        <v>1125154.6995377503</v>
      </c>
      <c r="J13" s="117">
        <f t="shared" si="1"/>
        <v>5.138493402173951E-5</v>
      </c>
      <c r="M13" s="157"/>
      <c r="N13" s="157"/>
    </row>
    <row r="14" spans="1:15" ht="18.75" x14ac:dyDescent="0.3">
      <c r="A14" s="95">
        <f>Gen!B15</f>
        <v>44140</v>
      </c>
      <c r="B14" s="269">
        <v>19</v>
      </c>
      <c r="C14" s="269">
        <v>85</v>
      </c>
      <c r="D14" s="269">
        <v>85</v>
      </c>
      <c r="E14" s="269"/>
      <c r="F14" s="269">
        <v>73036.17</v>
      </c>
      <c r="G14" s="269">
        <f t="shared" si="0"/>
        <v>59.972000000020493</v>
      </c>
      <c r="H14" s="112">
        <f>Gen!C15</f>
        <v>2.5999999999999999E-2</v>
      </c>
      <c r="I14" s="6">
        <f t="shared" si="2"/>
        <v>2809083.4615384615</v>
      </c>
      <c r="J14" s="117">
        <f t="shared" si="1"/>
        <v>2.1349312265423183E-5</v>
      </c>
      <c r="M14" s="157"/>
      <c r="N14" s="157"/>
    </row>
    <row r="15" spans="1:15" ht="18.75" x14ac:dyDescent="0.3">
      <c r="A15" s="95">
        <f>Gen!B16</f>
        <v>44141</v>
      </c>
      <c r="B15" s="269">
        <v>18</v>
      </c>
      <c r="C15" s="269">
        <v>85</v>
      </c>
      <c r="D15" s="269">
        <v>85</v>
      </c>
      <c r="E15" s="269"/>
      <c r="F15" s="269">
        <v>73048.210000000006</v>
      </c>
      <c r="G15" s="269">
        <f t="shared" si="0"/>
        <v>52.97600000003586</v>
      </c>
      <c r="H15" s="112">
        <f>Gen!C16</f>
        <v>6.4899999999999999E-2</v>
      </c>
      <c r="I15" s="6">
        <f t="shared" si="2"/>
        <v>1125550.2311248076</v>
      </c>
      <c r="J15" s="117">
        <f t="shared" si="1"/>
        <v>4.7066757693341513E-5</v>
      </c>
      <c r="M15" s="157"/>
      <c r="N15" s="157"/>
    </row>
    <row r="16" spans="1:15" ht="18.75" x14ac:dyDescent="0.3">
      <c r="A16" s="95">
        <f>Gen!B17</f>
        <v>44142</v>
      </c>
      <c r="B16" s="269">
        <v>85</v>
      </c>
      <c r="C16" s="269">
        <v>85</v>
      </c>
      <c r="D16" s="269">
        <v>85</v>
      </c>
      <c r="E16" s="269"/>
      <c r="F16" s="269">
        <v>73065.41</v>
      </c>
      <c r="G16" s="269">
        <f t="shared" si="0"/>
        <v>75.679999999987203</v>
      </c>
      <c r="H16" s="112">
        <f>Gen!C17</f>
        <v>5.1900000000000002E-2</v>
      </c>
      <c r="I16" s="6">
        <f t="shared" si="2"/>
        <v>1407811.3680154143</v>
      </c>
      <c r="J16" s="117">
        <f t="shared" si="1"/>
        <v>5.3757201937268753E-5</v>
      </c>
      <c r="M16" s="157"/>
      <c r="N16" s="157"/>
    </row>
    <row r="17" spans="1:14" ht="18.75" x14ac:dyDescent="0.3">
      <c r="A17" s="95">
        <f>Gen!B18</f>
        <v>44143</v>
      </c>
      <c r="B17" s="269">
        <v>85</v>
      </c>
      <c r="C17" s="269">
        <v>83</v>
      </c>
      <c r="D17" s="269">
        <v>85</v>
      </c>
      <c r="E17" s="269"/>
      <c r="F17" s="269">
        <v>73077.16</v>
      </c>
      <c r="G17" s="269">
        <f t="shared" si="0"/>
        <v>51.7</v>
      </c>
      <c r="H17" s="112">
        <f>Gen!C18</f>
        <v>0</v>
      </c>
      <c r="I17" s="6" t="e">
        <f t="shared" si="2"/>
        <v>#DIV/0!</v>
      </c>
      <c r="J17" s="117" t="e">
        <f t="shared" si="1"/>
        <v>#DIV/0!</v>
      </c>
      <c r="M17" s="157"/>
      <c r="N17" s="157"/>
    </row>
    <row r="18" spans="1:14" ht="18.75" x14ac:dyDescent="0.3">
      <c r="A18" s="95">
        <f>Gen!B19</f>
        <v>44144</v>
      </c>
      <c r="B18" s="269">
        <v>85</v>
      </c>
      <c r="C18" s="269">
        <v>82</v>
      </c>
      <c r="D18" s="269">
        <v>85</v>
      </c>
      <c r="E18" s="269"/>
      <c r="F18" s="269">
        <v>73089.34</v>
      </c>
      <c r="G18" s="269">
        <f t="shared" si="0"/>
        <v>53.591999999969268</v>
      </c>
      <c r="H18" s="112">
        <f>Gen!C19</f>
        <v>1.2999999999999999E-2</v>
      </c>
      <c r="I18" s="6">
        <f t="shared" si="2"/>
        <v>5622256.923076923</v>
      </c>
      <c r="J18" s="117">
        <f t="shared" si="1"/>
        <v>9.53211507997747E-6</v>
      </c>
      <c r="M18" s="157"/>
      <c r="N18" s="157"/>
    </row>
    <row r="19" spans="1:14" ht="18.75" x14ac:dyDescent="0.3">
      <c r="A19" s="95">
        <f>Gen!B20</f>
        <v>44145</v>
      </c>
      <c r="B19" s="269">
        <v>85</v>
      </c>
      <c r="C19" s="269">
        <v>80</v>
      </c>
      <c r="D19" s="269">
        <v>85</v>
      </c>
      <c r="E19" s="269"/>
      <c r="F19" s="269">
        <v>73094.69</v>
      </c>
      <c r="G19" s="269">
        <f t="shared" si="0"/>
        <v>23.540000000025614</v>
      </c>
      <c r="H19" s="112">
        <f>Gen!C20</f>
        <v>3.9E-2</v>
      </c>
      <c r="I19" s="6">
        <f t="shared" si="2"/>
        <v>1874222.8205128205</v>
      </c>
      <c r="J19" s="117">
        <f t="shared" si="1"/>
        <v>1.2559872680231614E-5</v>
      </c>
      <c r="M19" s="157"/>
      <c r="N19" s="157"/>
    </row>
    <row r="20" spans="1:14" ht="18.75" x14ac:dyDescent="0.3">
      <c r="A20" s="95">
        <f>Gen!B21</f>
        <v>44146</v>
      </c>
      <c r="B20" s="269">
        <v>85</v>
      </c>
      <c r="C20" s="269">
        <v>72</v>
      </c>
      <c r="D20" s="269">
        <v>85</v>
      </c>
      <c r="E20" s="269"/>
      <c r="F20" s="269">
        <v>73111.81</v>
      </c>
      <c r="G20" s="269">
        <f t="shared" si="0"/>
        <v>75.327999999979511</v>
      </c>
      <c r="H20" s="112">
        <f>Gen!C21</f>
        <v>6.4899999999999999E-2</v>
      </c>
      <c r="I20" s="6">
        <f t="shared" si="2"/>
        <v>1126530.2003081664</v>
      </c>
      <c r="J20" s="117">
        <f t="shared" si="1"/>
        <v>6.6867270828046386E-5</v>
      </c>
    </row>
    <row r="21" spans="1:14" ht="18.75" x14ac:dyDescent="0.3">
      <c r="A21" s="95">
        <f>Gen!B22</f>
        <v>44147</v>
      </c>
      <c r="B21" s="269">
        <v>85</v>
      </c>
      <c r="C21" s="269">
        <v>70</v>
      </c>
      <c r="D21" s="269">
        <v>85</v>
      </c>
      <c r="E21" s="269"/>
      <c r="F21" s="269">
        <v>73124.12</v>
      </c>
      <c r="G21" s="269">
        <f t="shared" si="0"/>
        <v>54.163999999989763</v>
      </c>
      <c r="H21" s="112">
        <f>Gen!C22</f>
        <v>0.05</v>
      </c>
      <c r="I21" s="6">
        <f t="shared" si="2"/>
        <v>1462482.4</v>
      </c>
      <c r="J21" s="117">
        <f t="shared" si="1"/>
        <v>3.7035659369295499E-5</v>
      </c>
    </row>
    <row r="22" spans="1:14" ht="18.75" x14ac:dyDescent="0.3">
      <c r="A22" s="95">
        <f>Gen!B23</f>
        <v>44148</v>
      </c>
      <c r="B22" s="269">
        <v>85</v>
      </c>
      <c r="C22" s="269">
        <v>61</v>
      </c>
      <c r="D22" s="269">
        <v>85</v>
      </c>
      <c r="E22" s="269"/>
      <c r="F22" s="269">
        <v>73139.69</v>
      </c>
      <c r="G22" s="269">
        <f t="shared" si="0"/>
        <v>68.508000000030734</v>
      </c>
      <c r="H22" s="112">
        <f>Gen!C23</f>
        <v>5.1900000000000002E-2</v>
      </c>
      <c r="I22" s="6">
        <f t="shared" si="2"/>
        <v>1409242.5818882466</v>
      </c>
      <c r="J22" s="117">
        <f t="shared" si="1"/>
        <v>4.8613347964717861E-5</v>
      </c>
    </row>
    <row r="23" spans="1:14" ht="18.75" x14ac:dyDescent="0.3">
      <c r="A23" s="95">
        <f>Gen!B24</f>
        <v>44149</v>
      </c>
      <c r="B23" s="269">
        <v>85</v>
      </c>
      <c r="C23" s="269">
        <v>57</v>
      </c>
      <c r="D23" s="269">
        <v>85</v>
      </c>
      <c r="E23" s="269"/>
      <c r="F23" s="269">
        <v>73155.45</v>
      </c>
      <c r="G23" s="269">
        <f t="shared" si="0"/>
        <v>69.343999999976958</v>
      </c>
      <c r="H23" s="112">
        <f>Gen!C24</f>
        <v>0.18179999999999999</v>
      </c>
      <c r="I23" s="6">
        <f t="shared" si="2"/>
        <v>402395.21452145214</v>
      </c>
      <c r="J23" s="117">
        <f t="shared" si="1"/>
        <v>1.7232809312219132E-4</v>
      </c>
    </row>
    <row r="24" spans="1:14" ht="18.75" x14ac:dyDescent="0.3">
      <c r="A24" s="95">
        <f>Gen!B25</f>
        <v>44150</v>
      </c>
      <c r="B24" s="269">
        <v>85</v>
      </c>
      <c r="C24" s="269">
        <v>53</v>
      </c>
      <c r="D24" s="269">
        <v>85</v>
      </c>
      <c r="E24" s="269"/>
      <c r="F24" s="269">
        <v>73177.13</v>
      </c>
      <c r="G24" s="269">
        <f t="shared" si="0"/>
        <v>95.392000000033306</v>
      </c>
      <c r="H24" s="112">
        <f>Gen!C25</f>
        <v>0.1429</v>
      </c>
      <c r="I24" s="6">
        <f t="shared" si="2"/>
        <v>512086.28411476559</v>
      </c>
      <c r="J24" s="117">
        <f t="shared" si="1"/>
        <v>1.8628110722577885E-4</v>
      </c>
    </row>
    <row r="25" spans="1:14" ht="18.75" x14ac:dyDescent="0.3">
      <c r="A25" s="95">
        <f>Gen!B26</f>
        <v>44151</v>
      </c>
      <c r="B25" s="269">
        <v>85</v>
      </c>
      <c r="C25" s="269">
        <v>45</v>
      </c>
      <c r="D25" s="269">
        <v>85</v>
      </c>
      <c r="E25" s="269"/>
      <c r="F25" s="269">
        <v>73195.94</v>
      </c>
      <c r="G25" s="269">
        <f t="shared" si="0"/>
        <v>82.763999999989764</v>
      </c>
      <c r="H25" s="112">
        <f>Gen!C26</f>
        <v>0.12989999999999999</v>
      </c>
      <c r="I25" s="6">
        <f t="shared" si="2"/>
        <v>563479.13779830642</v>
      </c>
      <c r="J25" s="117">
        <f t="shared" si="1"/>
        <v>1.4688032696893666E-4</v>
      </c>
    </row>
    <row r="26" spans="1:14" ht="18.75" x14ac:dyDescent="0.3">
      <c r="A26" s="95">
        <f>Gen!B27</f>
        <v>44152</v>
      </c>
      <c r="B26" s="269">
        <v>85</v>
      </c>
      <c r="C26" s="269">
        <v>42</v>
      </c>
      <c r="D26" s="269">
        <v>85</v>
      </c>
      <c r="E26" s="269"/>
      <c r="F26" s="269">
        <v>73213.570000000007</v>
      </c>
      <c r="G26" s="269">
        <f t="shared" si="0"/>
        <v>77.572000000020495</v>
      </c>
      <c r="H26" s="112">
        <f>Gen!C27</f>
        <v>0.03</v>
      </c>
      <c r="I26" s="6">
        <f t="shared" si="2"/>
        <v>2440452.3333333335</v>
      </c>
      <c r="J26" s="117">
        <f t="shared" si="1"/>
        <v>3.1785910726667401E-5</v>
      </c>
    </row>
    <row r="27" spans="1:14" ht="18.75" x14ac:dyDescent="0.3">
      <c r="A27" s="95">
        <f>Gen!B28</f>
        <v>44153</v>
      </c>
      <c r="B27" s="269">
        <v>85</v>
      </c>
      <c r="C27" s="269">
        <v>35</v>
      </c>
      <c r="D27" s="269">
        <v>85</v>
      </c>
      <c r="E27" s="269"/>
      <c r="F27" s="269">
        <v>73230.679999999993</v>
      </c>
      <c r="G27" s="269">
        <f t="shared" si="0"/>
        <v>75.283999999938544</v>
      </c>
      <c r="H27" s="112">
        <f>Gen!C28</f>
        <v>0.104</v>
      </c>
      <c r="I27" s="6">
        <f t="shared" si="2"/>
        <v>704141.15384615376</v>
      </c>
      <c r="J27" s="117">
        <f t="shared" si="1"/>
        <v>1.0691606304889712E-4</v>
      </c>
    </row>
    <row r="28" spans="1:14" ht="18.75" x14ac:dyDescent="0.3">
      <c r="A28" s="95">
        <f>Gen!B29</f>
        <v>44154</v>
      </c>
      <c r="B28" s="269">
        <v>85</v>
      </c>
      <c r="C28" s="269">
        <v>31</v>
      </c>
      <c r="D28" s="269">
        <v>85</v>
      </c>
      <c r="E28" s="269"/>
      <c r="F28" s="269">
        <v>73247.39</v>
      </c>
      <c r="G28" s="269">
        <f t="shared" si="0"/>
        <v>73.524000000028181</v>
      </c>
      <c r="H28" s="112">
        <f>Gen!C29</f>
        <v>5.1999999999999998E-2</v>
      </c>
      <c r="I28" s="6">
        <f t="shared" si="2"/>
        <v>1408603.653846154</v>
      </c>
      <c r="J28" s="117">
        <f t="shared" si="1"/>
        <v>5.2196371775178134E-5</v>
      </c>
    </row>
    <row r="29" spans="1:14" ht="18.75" x14ac:dyDescent="0.3">
      <c r="A29" s="95">
        <f>Gen!B30</f>
        <v>44155</v>
      </c>
      <c r="B29" s="269">
        <v>85</v>
      </c>
      <c r="C29" s="269">
        <v>25</v>
      </c>
      <c r="D29" s="269">
        <v>85</v>
      </c>
      <c r="E29" s="269"/>
      <c r="F29" s="269">
        <v>73269.929999999993</v>
      </c>
      <c r="G29" s="269">
        <f t="shared" si="0"/>
        <v>99.175999999971836</v>
      </c>
      <c r="H29" s="112">
        <f>Gen!C30</f>
        <v>5.1999999999999998E-2</v>
      </c>
      <c r="I29" s="6">
        <f t="shared" ref="I29:I41" si="3">SUM(F29/H29)</f>
        <v>1409037.1153846153</v>
      </c>
      <c r="J29" s="117">
        <f t="shared" si="1"/>
        <v>7.0385654797248146E-5</v>
      </c>
    </row>
    <row r="30" spans="1:14" ht="18.75" x14ac:dyDescent="0.3">
      <c r="A30" s="95">
        <f>Gen!B31</f>
        <v>44156</v>
      </c>
      <c r="B30" s="269">
        <v>85</v>
      </c>
      <c r="C30" s="269">
        <v>20</v>
      </c>
      <c r="D30" s="269">
        <v>85</v>
      </c>
      <c r="E30" s="269"/>
      <c r="F30" s="269">
        <v>73289.33</v>
      </c>
      <c r="G30" s="269">
        <f t="shared" si="0"/>
        <v>85.360000000038426</v>
      </c>
      <c r="H30" s="112">
        <f>Gen!C31</f>
        <v>6.5000000000000002E-2</v>
      </c>
      <c r="I30" s="6">
        <f t="shared" si="3"/>
        <v>1127528.1538461538</v>
      </c>
      <c r="J30" s="117">
        <f t="shared" si="1"/>
        <v>7.5705426697208147E-5</v>
      </c>
    </row>
    <row r="31" spans="1:14" ht="18.75" x14ac:dyDescent="0.3">
      <c r="A31" s="95">
        <f>Gen!B32</f>
        <v>44157</v>
      </c>
      <c r="B31" s="269">
        <v>85</v>
      </c>
      <c r="C31" s="269">
        <v>15</v>
      </c>
      <c r="D31" s="269">
        <v>85</v>
      </c>
      <c r="E31" s="269"/>
      <c r="F31" s="269">
        <v>73309</v>
      </c>
      <c r="G31" s="269">
        <f t="shared" si="0"/>
        <v>86.547999999992328</v>
      </c>
      <c r="H31" s="112">
        <f>Gen!C32</f>
        <v>0.1</v>
      </c>
      <c r="I31" s="6">
        <f t="shared" si="3"/>
        <v>733090</v>
      </c>
      <c r="J31" s="117">
        <f t="shared" si="1"/>
        <v>1.1805917418051307E-4</v>
      </c>
    </row>
    <row r="32" spans="1:14" ht="18.75" x14ac:dyDescent="0.3">
      <c r="A32" s="95">
        <f>Gen!B33</f>
        <v>44158</v>
      </c>
      <c r="B32" s="269">
        <v>85</v>
      </c>
      <c r="C32" s="269">
        <v>11</v>
      </c>
      <c r="D32" s="269">
        <v>85</v>
      </c>
      <c r="E32" s="269">
        <v>85</v>
      </c>
      <c r="F32" s="269">
        <v>73323.94</v>
      </c>
      <c r="G32" s="269">
        <f t="shared" si="0"/>
        <v>65.73600000001025</v>
      </c>
      <c r="H32" s="112">
        <f>Gen!C33</f>
        <v>6.5000000000000002E-2</v>
      </c>
      <c r="I32" s="6">
        <f t="shared" si="3"/>
        <v>1128060.6153846155</v>
      </c>
      <c r="J32" s="117">
        <f t="shared" si="1"/>
        <v>5.8273464301027275E-5</v>
      </c>
    </row>
    <row r="33" spans="1:10" ht="18.75" x14ac:dyDescent="0.3">
      <c r="A33" s="95">
        <f>Gen!B34</f>
        <v>44159</v>
      </c>
      <c r="B33" s="269">
        <v>85</v>
      </c>
      <c r="C33" s="269">
        <v>9</v>
      </c>
      <c r="D33" s="269">
        <v>85</v>
      </c>
      <c r="E33" s="269"/>
      <c r="F33" s="269">
        <v>73338.509999999995</v>
      </c>
      <c r="G33" s="269">
        <f t="shared" si="0"/>
        <v>64.107999999966708</v>
      </c>
      <c r="H33" s="112">
        <f>Gen!C34</f>
        <v>6.5000000000000002E-2</v>
      </c>
      <c r="I33" s="6">
        <f t="shared" si="3"/>
        <v>1128284.769230769</v>
      </c>
      <c r="J33" s="117">
        <f t="shared" si="1"/>
        <v>5.6818989095876597E-5</v>
      </c>
    </row>
    <row r="34" spans="1:10" ht="18.75" x14ac:dyDescent="0.3">
      <c r="A34" s="95">
        <f>Gen!B35</f>
        <v>44160</v>
      </c>
      <c r="B34" s="269">
        <v>85</v>
      </c>
      <c r="C34" s="269">
        <v>5</v>
      </c>
      <c r="D34" s="269">
        <v>85</v>
      </c>
      <c r="E34" s="269"/>
      <c r="F34" s="269">
        <v>73356.77</v>
      </c>
      <c r="G34" s="269">
        <f t="shared" si="0"/>
        <v>80.344000000040978</v>
      </c>
      <c r="H34" s="112">
        <f>Gen!C35</f>
        <v>3.9E-2</v>
      </c>
      <c r="I34" s="6">
        <f t="shared" si="3"/>
        <v>1880942.8205128207</v>
      </c>
      <c r="J34" s="117">
        <f t="shared" si="1"/>
        <v>4.2714748754635704E-5</v>
      </c>
    </row>
    <row r="35" spans="1:10" ht="18.75" x14ac:dyDescent="0.3">
      <c r="A35" s="95">
        <f>Gen!B36</f>
        <v>44161</v>
      </c>
      <c r="B35" s="269">
        <v>85</v>
      </c>
      <c r="C35" s="269">
        <v>3</v>
      </c>
      <c r="D35" s="269">
        <v>85</v>
      </c>
      <c r="E35" s="269"/>
      <c r="F35" s="269">
        <v>73374.66</v>
      </c>
      <c r="G35" s="269">
        <f t="shared" si="0"/>
        <v>78.71599999999745</v>
      </c>
      <c r="H35" s="112">
        <f>Gen!C36</f>
        <v>1.2999999999999999E-2</v>
      </c>
      <c r="I35" s="6">
        <f t="shared" si="3"/>
        <v>5644204.615384616</v>
      </c>
      <c r="J35" s="117">
        <f t="shared" si="1"/>
        <v>1.3946340603145101E-5</v>
      </c>
    </row>
    <row r="36" spans="1:10" ht="18.75" x14ac:dyDescent="0.3">
      <c r="A36" s="95">
        <f>Gen!B37</f>
        <v>44162</v>
      </c>
      <c r="B36" s="269">
        <v>85</v>
      </c>
      <c r="C36" s="269">
        <v>2</v>
      </c>
      <c r="D36" s="269">
        <v>85</v>
      </c>
      <c r="E36" s="269"/>
      <c r="F36" s="269">
        <v>73384.289999999994</v>
      </c>
      <c r="G36" s="269">
        <f t="shared" si="0"/>
        <v>42.371999999956465</v>
      </c>
      <c r="H36" s="112">
        <f>Gen!C37</f>
        <v>0.01</v>
      </c>
      <c r="I36" s="6">
        <f t="shared" si="3"/>
        <v>7338428.9999999991</v>
      </c>
      <c r="J36" s="117">
        <f t="shared" si="1"/>
        <v>5.7739878657893225E-6</v>
      </c>
    </row>
    <row r="37" spans="1:10" ht="18.75" x14ac:dyDescent="0.3">
      <c r="A37" s="95">
        <f>Gen!B38</f>
        <v>44163</v>
      </c>
      <c r="B37" s="269">
        <v>85</v>
      </c>
      <c r="C37" s="269">
        <v>1</v>
      </c>
      <c r="D37" s="269">
        <v>85</v>
      </c>
      <c r="E37" s="269"/>
      <c r="F37" s="269">
        <v>73399.679999999993</v>
      </c>
      <c r="G37" s="269">
        <f t="shared" si="0"/>
        <v>67.71599999999745</v>
      </c>
      <c r="H37" s="112">
        <f>Gen!C38</f>
        <v>2.5999999999999999E-2</v>
      </c>
      <c r="I37" s="6">
        <f t="shared" si="3"/>
        <v>2823064.615384615</v>
      </c>
      <c r="J37" s="117">
        <f t="shared" si="1"/>
        <v>2.3986698579611435E-5</v>
      </c>
    </row>
    <row r="38" spans="1:10" ht="18.75" x14ac:dyDescent="0.3">
      <c r="A38" s="95">
        <f>Gen!B39</f>
        <v>44164</v>
      </c>
      <c r="B38" s="269">
        <v>85</v>
      </c>
      <c r="C38" s="269">
        <v>0</v>
      </c>
      <c r="D38" s="269">
        <v>85</v>
      </c>
      <c r="E38" s="269"/>
      <c r="F38" s="269">
        <v>73406.27</v>
      </c>
      <c r="G38" s="269">
        <f t="shared" si="0"/>
        <v>28.996000000048664</v>
      </c>
      <c r="H38" s="112">
        <f>Gen!C39</f>
        <v>2.5999999999999999E-2</v>
      </c>
      <c r="I38" s="6">
        <f t="shared" si="3"/>
        <v>2823318.076923077</v>
      </c>
      <c r="J38" s="117">
        <f t="shared" si="1"/>
        <v>1.0270185367016539E-5</v>
      </c>
    </row>
    <row r="39" spans="1:10" ht="18.75" x14ac:dyDescent="0.3">
      <c r="A39" s="95">
        <f>Gen!B40</f>
        <v>44165</v>
      </c>
      <c r="B39" s="269">
        <v>85</v>
      </c>
      <c r="C39" s="269">
        <v>0</v>
      </c>
      <c r="D39" s="269">
        <v>84</v>
      </c>
      <c r="E39" s="269"/>
      <c r="F39" s="269">
        <v>73421.69</v>
      </c>
      <c r="G39" s="269">
        <f t="shared" si="0"/>
        <v>67.847999999992325</v>
      </c>
      <c r="H39" s="112">
        <f>Gen!C40</f>
        <v>3.9E-2</v>
      </c>
      <c r="I39" s="6">
        <f t="shared" si="3"/>
        <v>1882607.435897436</v>
      </c>
      <c r="J39" s="117">
        <f t="shared" si="1"/>
        <v>3.6039377464611622E-5</v>
      </c>
    </row>
    <row r="40" spans="1:10" ht="18.75" x14ac:dyDescent="0.3">
      <c r="A40" s="95">
        <f>Gen!B41</f>
        <v>44166</v>
      </c>
      <c r="B40" s="269"/>
      <c r="C40" s="269"/>
      <c r="D40" s="269"/>
      <c r="E40" s="269"/>
      <c r="F40" s="269"/>
      <c r="G40" s="269">
        <f t="shared" si="0"/>
        <v>-323055.43600000005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 x14ac:dyDescent="0.3">
      <c r="A41" s="95">
        <f>Gen!B42</f>
        <v>0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 x14ac:dyDescent="0.3">
      <c r="A42" s="95"/>
      <c r="B42" s="5"/>
      <c r="C42" s="924" t="s">
        <v>6</v>
      </c>
      <c r="D42" s="924"/>
      <c r="E42" s="2">
        <f t="shared" ref="E42:F42" si="4">SUM(E10:E40)</f>
        <v>170</v>
      </c>
      <c r="F42" s="2">
        <f t="shared" si="4"/>
        <v>2195895.7199999997</v>
      </c>
      <c r="G42" s="102">
        <f>SUM(G10:G40)</f>
        <v>-321133.78000000003</v>
      </c>
      <c r="H42" s="7"/>
      <c r="I42" s="6"/>
      <c r="J42" s="117"/>
    </row>
    <row r="44" spans="1:10" ht="13.5" thickBot="1" x14ac:dyDescent="0.25"/>
    <row r="45" spans="1:10" x14ac:dyDescent="0.2">
      <c r="B45" s="930" t="s">
        <v>342</v>
      </c>
      <c r="C45" s="931"/>
      <c r="D45" s="930" t="s">
        <v>341</v>
      </c>
      <c r="E45" s="934"/>
      <c r="F45" s="931"/>
      <c r="G45" s="920" t="s">
        <v>340</v>
      </c>
      <c r="H45" s="921"/>
    </row>
    <row r="46" spans="1:10" x14ac:dyDescent="0.2">
      <c r="B46" s="932"/>
      <c r="C46" s="933"/>
      <c r="D46" s="932"/>
      <c r="E46" s="935"/>
      <c r="F46" s="933"/>
      <c r="G46" s="922"/>
      <c r="H46" s="923"/>
    </row>
    <row r="47" spans="1:10" x14ac:dyDescent="0.2">
      <c r="B47" s="854"/>
      <c r="C47" s="855"/>
      <c r="D47" s="854"/>
      <c r="E47" s="20"/>
      <c r="F47" s="855"/>
      <c r="G47" s="858"/>
      <c r="H47" s="855"/>
    </row>
    <row r="48" spans="1:10" x14ac:dyDescent="0.2">
      <c r="B48" s="854"/>
      <c r="C48" s="855"/>
      <c r="D48" s="854"/>
      <c r="E48" s="20"/>
      <c r="F48" s="855"/>
      <c r="G48" s="858"/>
      <c r="H48" s="855"/>
    </row>
    <row r="49" spans="2:8" x14ac:dyDescent="0.2">
      <c r="B49" s="854"/>
      <c r="C49" s="855"/>
      <c r="D49" s="854"/>
      <c r="E49" s="20"/>
      <c r="F49" s="855"/>
      <c r="G49" s="858"/>
      <c r="H49" s="855"/>
    </row>
    <row r="50" spans="2:8" x14ac:dyDescent="0.2">
      <c r="B50" s="854"/>
      <c r="C50" s="855"/>
      <c r="D50" s="854"/>
      <c r="E50" s="20"/>
      <c r="F50" s="855"/>
      <c r="G50" s="858"/>
      <c r="H50" s="855"/>
    </row>
    <row r="51" spans="2:8" x14ac:dyDescent="0.2">
      <c r="B51" s="854"/>
      <c r="C51" s="855"/>
      <c r="D51" s="854"/>
      <c r="E51" s="20"/>
      <c r="F51" s="855"/>
      <c r="G51" s="858"/>
      <c r="H51" s="855"/>
    </row>
    <row r="52" spans="2:8" x14ac:dyDescent="0.2">
      <c r="B52" s="854"/>
      <c r="C52" s="855"/>
      <c r="D52" s="854"/>
      <c r="E52" s="20"/>
      <c r="F52" s="855"/>
      <c r="G52" s="858"/>
      <c r="H52" s="855"/>
    </row>
    <row r="53" spans="2:8" x14ac:dyDescent="0.2">
      <c r="B53" s="854"/>
      <c r="C53" s="855"/>
      <c r="D53" s="854"/>
      <c r="E53" s="20"/>
      <c r="F53" s="855"/>
      <c r="G53" s="858"/>
      <c r="H53" s="855"/>
    </row>
    <row r="54" spans="2:8" x14ac:dyDescent="0.2">
      <c r="B54" s="854"/>
      <c r="C54" s="855"/>
      <c r="D54" s="854"/>
      <c r="E54" s="20"/>
      <c r="F54" s="855"/>
      <c r="G54" s="858"/>
      <c r="H54" s="855"/>
    </row>
    <row r="55" spans="2:8" x14ac:dyDescent="0.2">
      <c r="B55" s="854"/>
      <c r="C55" s="855"/>
      <c r="D55" s="854"/>
      <c r="E55" s="20"/>
      <c r="F55" s="855"/>
      <c r="G55" s="858"/>
      <c r="H55" s="855"/>
    </row>
    <row r="56" spans="2:8" x14ac:dyDescent="0.2">
      <c r="B56" s="854"/>
      <c r="C56" s="855"/>
      <c r="D56" s="854"/>
      <c r="E56" s="20"/>
      <c r="F56" s="855"/>
      <c r="G56" s="858"/>
      <c r="H56" s="855"/>
    </row>
    <row r="57" spans="2:8" x14ac:dyDescent="0.2">
      <c r="B57" s="854"/>
      <c r="C57" s="855"/>
      <c r="D57" s="854"/>
      <c r="E57" s="20"/>
      <c r="F57" s="855"/>
      <c r="G57" s="858"/>
      <c r="H57" s="855"/>
    </row>
    <row r="58" spans="2:8" x14ac:dyDescent="0.2">
      <c r="B58" s="854"/>
      <c r="C58" s="855"/>
      <c r="D58" s="854"/>
      <c r="E58" s="20"/>
      <c r="F58" s="855"/>
      <c r="G58" s="858"/>
      <c r="H58" s="855"/>
    </row>
    <row r="59" spans="2:8" x14ac:dyDescent="0.2">
      <c r="B59" s="854"/>
      <c r="C59" s="855"/>
      <c r="D59" s="854"/>
      <c r="E59" s="20"/>
      <c r="F59" s="855"/>
      <c r="G59" s="858"/>
      <c r="H59" s="855"/>
    </row>
    <row r="60" spans="2:8" x14ac:dyDescent="0.2">
      <c r="B60" s="854"/>
      <c r="C60" s="855"/>
      <c r="D60" s="854"/>
      <c r="E60" s="20"/>
      <c r="F60" s="855"/>
      <c r="G60" s="858"/>
      <c r="H60" s="855"/>
    </row>
    <row r="61" spans="2:8" ht="13.5" thickBot="1" x14ac:dyDescent="0.25">
      <c r="B61" s="856"/>
      <c r="C61" s="857"/>
      <c r="D61" s="856"/>
      <c r="E61" s="252"/>
      <c r="F61" s="857"/>
      <c r="G61" s="859"/>
      <c r="H61" s="857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D39" sqref="C39:D39"/>
    </sheetView>
  </sheetViews>
  <sheetFormatPr defaultRowHeight="12.75" x14ac:dyDescent="0.2"/>
  <cols>
    <col min="1" max="1" width="9.7109375" bestFit="1" customWidth="1"/>
    <col min="2" max="2" width="10.28515625" style="12" bestFit="1" customWidth="1"/>
  </cols>
  <sheetData>
    <row r="1" spans="1:3" s="16" customFormat="1" x14ac:dyDescent="0.2">
      <c r="A1" s="14" t="s">
        <v>0</v>
      </c>
      <c r="B1" s="14" t="s">
        <v>75</v>
      </c>
      <c r="C1" s="14" t="s">
        <v>24</v>
      </c>
    </row>
    <row r="2" spans="1:3" x14ac:dyDescent="0.2">
      <c r="A2" s="94">
        <f>Gen!B11</f>
        <v>44136</v>
      </c>
      <c r="B2" s="13">
        <f>'[1]Lpg (2)'!G10</f>
        <v>197.55999999997439</v>
      </c>
      <c r="C2" s="93">
        <f>SUM([1]Gen!B11)</f>
        <v>0.623</v>
      </c>
    </row>
    <row r="3" spans="1:3" x14ac:dyDescent="0.2">
      <c r="A3" s="94">
        <f>Gen!B12</f>
        <v>44137</v>
      </c>
      <c r="B3" s="13">
        <f>'[1]Lpg (2)'!G11</f>
        <v>131.95600000002307</v>
      </c>
      <c r="C3" s="93">
        <f>SUM([1]Gen!B12)</f>
        <v>0.77900000000000003</v>
      </c>
    </row>
    <row r="4" spans="1:3" x14ac:dyDescent="0.2">
      <c r="A4" s="94">
        <f>Gen!B13</f>
        <v>44138</v>
      </c>
      <c r="B4" s="13">
        <f>'[1]Lpg (2)'!G12</f>
        <v>117.4799999999872</v>
      </c>
      <c r="C4" s="93">
        <f>SUM([1]Gen!B13)</f>
        <v>0.53200000000000003</v>
      </c>
    </row>
    <row r="5" spans="1:3" x14ac:dyDescent="0.2">
      <c r="A5" s="94">
        <f>Gen!B14</f>
        <v>44139</v>
      </c>
      <c r="B5" s="13">
        <f>'[1]Lpg (2)'!G13</f>
        <v>102.9599999999744</v>
      </c>
      <c r="C5" s="93">
        <f>SUM([1]Gen!B14)</f>
        <v>0.61</v>
      </c>
    </row>
    <row r="6" spans="1:3" x14ac:dyDescent="0.2">
      <c r="A6" s="94">
        <f>Gen!B15</f>
        <v>44140</v>
      </c>
      <c r="B6" s="13">
        <f>'[1]Lpg (2)'!G14</f>
        <v>101.81599999999744</v>
      </c>
      <c r="C6" s="93">
        <f>SUM([1]Gen!B15)</f>
        <v>0.68799999999999994</v>
      </c>
    </row>
    <row r="7" spans="1:3" x14ac:dyDescent="0.2">
      <c r="A7" s="94">
        <f>Gen!B16</f>
        <v>44141</v>
      </c>
      <c r="B7" s="13">
        <f>'[1]Lpg (2)'!G15</f>
        <v>106.92000000001282</v>
      </c>
      <c r="C7" s="93">
        <f>SUM([1]Gen!B16)</f>
        <v>0.53200000000000003</v>
      </c>
    </row>
    <row r="8" spans="1:3" x14ac:dyDescent="0.2">
      <c r="A8" s="94">
        <f>Gen!B17</f>
        <v>44142</v>
      </c>
      <c r="B8" s="13">
        <f>'[1]Lpg (2)'!G16</f>
        <v>116.73199999999488</v>
      </c>
      <c r="C8" s="93">
        <f>SUM([1]Gen!B17)</f>
        <v>0.753</v>
      </c>
    </row>
    <row r="9" spans="1:3" x14ac:dyDescent="0.2">
      <c r="A9" s="94">
        <f>Gen!B18</f>
        <v>44143</v>
      </c>
      <c r="B9" s="13">
        <f>'[1]Lpg (2)'!G17</f>
        <v>105.73199999999488</v>
      </c>
      <c r="C9" s="93">
        <f>SUM([1]Gen!B18)</f>
        <v>0.156</v>
      </c>
    </row>
    <row r="10" spans="1:3" x14ac:dyDescent="0.2">
      <c r="A10" s="94">
        <f>Gen!B19</f>
        <v>44144</v>
      </c>
      <c r="B10" s="13">
        <f>'[1]Lpg (2)'!G18</f>
        <v>114.4</v>
      </c>
      <c r="C10" s="93">
        <f>SUM([1]Gen!B19)</f>
        <v>0.442</v>
      </c>
    </row>
    <row r="11" spans="1:3" x14ac:dyDescent="0.2">
      <c r="A11" s="94">
        <f>Gen!B20</f>
        <v>44145</v>
      </c>
      <c r="B11" s="13">
        <f>'[1]Lpg (2)'!G19</f>
        <v>102.08000000005123</v>
      </c>
      <c r="C11" s="93">
        <f>SUM([1]Gen!B20)</f>
        <v>0.32500000000000001</v>
      </c>
    </row>
    <row r="12" spans="1:3" x14ac:dyDescent="0.2">
      <c r="A12" s="94">
        <f>Gen!B21</f>
        <v>44146</v>
      </c>
      <c r="B12" s="13">
        <f>'[1]Lpg (2)'!G20</f>
        <v>105.29199999996928</v>
      </c>
      <c r="C12" s="93">
        <f>SUM([1]Gen!B21)</f>
        <v>0.45500000000000002</v>
      </c>
    </row>
    <row r="13" spans="1:3" x14ac:dyDescent="0.2">
      <c r="A13" s="94">
        <f>Gen!B22</f>
        <v>44147</v>
      </c>
      <c r="B13" s="13">
        <f>'[1]Lpg (2)'!G21</f>
        <v>114.66399999998977</v>
      </c>
      <c r="C13" s="93">
        <f>SUM([1]Gen!B22)</f>
        <v>0.41599999999999998</v>
      </c>
    </row>
    <row r="14" spans="1:3" x14ac:dyDescent="0.2">
      <c r="A14" s="94">
        <f>Gen!B23</f>
        <v>44148</v>
      </c>
      <c r="B14" s="13">
        <f>'[1]Lpg (2)'!G22</f>
        <v>113.78400000000256</v>
      </c>
      <c r="C14" s="93">
        <f>SUM([1]Gen!B23)</f>
        <v>0.39</v>
      </c>
    </row>
    <row r="15" spans="1:3" x14ac:dyDescent="0.2">
      <c r="A15" s="94">
        <f>Gen!B24</f>
        <v>44149</v>
      </c>
      <c r="B15" s="13">
        <f>'[1]Lpg (2)'!G23</f>
        <v>114.62000000001281</v>
      </c>
      <c r="C15" s="93">
        <f>SUM([1]Gen!B24)</f>
        <v>0.63600000000000001</v>
      </c>
    </row>
    <row r="16" spans="1:3" x14ac:dyDescent="0.2">
      <c r="A16" s="94">
        <f>Gen!B25</f>
        <v>44150</v>
      </c>
      <c r="B16" s="13">
        <f>'[1]Lpg (2)'!G24</f>
        <v>107.49199999996928</v>
      </c>
      <c r="C16" s="93">
        <f>SUM([1]Gen!B25)</f>
        <v>0.84399999999999997</v>
      </c>
    </row>
    <row r="17" spans="1:3" x14ac:dyDescent="0.2">
      <c r="A17" s="94">
        <f>Gen!B26</f>
        <v>44151</v>
      </c>
      <c r="B17" s="13">
        <f>'[1]Lpg (2)'!G25</f>
        <v>106.78800000001793</v>
      </c>
      <c r="C17" s="93">
        <f>SUM([1]Gen!B26)</f>
        <v>0.81799999999999995</v>
      </c>
    </row>
    <row r="18" spans="1:3" x14ac:dyDescent="0.2">
      <c r="A18" s="94">
        <f>Gen!B27</f>
        <v>44152</v>
      </c>
      <c r="B18" s="13">
        <f>'[1]Lpg (2)'!G26</f>
        <v>100.76000000003843</v>
      </c>
      <c r="C18" s="93">
        <f>SUM([1]Gen!B27)</f>
        <v>0.20799999999999999</v>
      </c>
    </row>
    <row r="19" spans="1:3" x14ac:dyDescent="0.2">
      <c r="A19" s="94">
        <f>Gen!B28</f>
        <v>44153</v>
      </c>
      <c r="B19" s="13">
        <f>'[1]Lpg (2)'!G27</f>
        <v>108.6799999999872</v>
      </c>
      <c r="C19" s="93">
        <f>SUM([1]Gen!B28)</f>
        <v>0.221</v>
      </c>
    </row>
    <row r="20" spans="1:3" x14ac:dyDescent="0.2">
      <c r="A20" s="94">
        <f>Gen!B29</f>
        <v>44154</v>
      </c>
      <c r="B20" s="13">
        <f>'[1]Lpg (2)'!G28</f>
        <v>92.795999999984645</v>
      </c>
      <c r="C20" s="93">
        <f>SUM([1]Gen!B29)</f>
        <v>0.11700000000000001</v>
      </c>
    </row>
    <row r="21" spans="1:3" x14ac:dyDescent="0.2">
      <c r="A21" s="94">
        <f>Gen!B30</f>
        <v>44155</v>
      </c>
      <c r="B21" s="13">
        <f>'[1]Lpg (2)'!G29</f>
        <v>137.80800000003075</v>
      </c>
      <c r="C21" s="93">
        <f>SUM([1]Gen!B30)</f>
        <v>0.57099999999999995</v>
      </c>
    </row>
    <row r="22" spans="1:3" x14ac:dyDescent="0.2">
      <c r="A22" s="94">
        <f>Gen!B31</f>
        <v>44156</v>
      </c>
      <c r="B22" s="13">
        <f>'[1]Lpg (2)'!G30</f>
        <v>103.79599999998464</v>
      </c>
      <c r="C22" s="93">
        <f>SUM([1]Gen!B31)</f>
        <v>0.55800000000000005</v>
      </c>
    </row>
    <row r="23" spans="1:3" x14ac:dyDescent="0.2">
      <c r="A23" s="94">
        <f>Gen!B32</f>
        <v>44157</v>
      </c>
      <c r="B23" s="13">
        <f>'[1]Lpg (2)'!G31</f>
        <v>20.415999999997439</v>
      </c>
      <c r="C23" s="93">
        <f>SUM([1]Gen!B32)</f>
        <v>0.40300000000000002</v>
      </c>
    </row>
    <row r="24" spans="1:3" x14ac:dyDescent="0.2">
      <c r="A24" s="94">
        <f>Gen!B33</f>
        <v>44158</v>
      </c>
      <c r="B24" s="13">
        <f>'[1]Lpg (2)'!G32</f>
        <v>197.69199999996928</v>
      </c>
      <c r="C24" s="93">
        <f>SUM([1]Gen!B33)</f>
        <v>0.24</v>
      </c>
    </row>
    <row r="25" spans="1:3" x14ac:dyDescent="0.2">
      <c r="A25" s="94">
        <f>Gen!B34</f>
        <v>44159</v>
      </c>
      <c r="B25" s="13">
        <f>'[1]Lpg (2)'!G33</f>
        <v>101.11200000004611</v>
      </c>
      <c r="C25" s="93">
        <f>SUM([1]Gen!B34)</f>
        <v>0.09</v>
      </c>
    </row>
    <row r="26" spans="1:3" x14ac:dyDescent="0.2">
      <c r="A26" s="94">
        <f>Gen!B35</f>
        <v>44160</v>
      </c>
      <c r="B26" s="13">
        <f>'[1]Lpg (2)'!G34</f>
        <v>95.303999999951344</v>
      </c>
      <c r="C26" s="93">
        <f>SUM([1]Gen!B35)</f>
        <v>0.28599999999999998</v>
      </c>
    </row>
    <row r="27" spans="1:3" x14ac:dyDescent="0.2">
      <c r="A27" s="94">
        <f>Gen!B36</f>
        <v>44161</v>
      </c>
      <c r="B27" s="13">
        <f>'[1]Lpg (2)'!G35</f>
        <v>104.80800000003075</v>
      </c>
      <c r="C27" s="93">
        <f>SUM([1]Gen!B36)</f>
        <v>0.54500000000000004</v>
      </c>
    </row>
    <row r="28" spans="1:3" x14ac:dyDescent="0.2">
      <c r="A28" s="94">
        <f>Gen!B37</f>
        <v>44162</v>
      </c>
      <c r="B28" s="13">
        <f>'[1]Lpg (2)'!G36</f>
        <v>102.43199999999489</v>
      </c>
      <c r="C28" s="93">
        <f>SUM([1]Gen!B37)</f>
        <v>0.67500000000000004</v>
      </c>
    </row>
    <row r="29" spans="1:3" x14ac:dyDescent="0.2">
      <c r="A29" s="94">
        <f>Gen!B38</f>
        <v>44163</v>
      </c>
      <c r="B29" s="13">
        <f>'[1]Lpg (2)'!G37</f>
        <v>-295728.88400000002</v>
      </c>
      <c r="C29" s="93">
        <f>SUM([1]Gen!B38)</f>
        <v>0.27300000000000002</v>
      </c>
    </row>
    <row r="30" spans="1:3" x14ac:dyDescent="0.2">
      <c r="A30" s="94">
        <f>Gen!B39</f>
        <v>44164</v>
      </c>
      <c r="B30" s="13">
        <f>'[1]Lpg (2)'!G38</f>
        <v>0</v>
      </c>
      <c r="C30" s="93" t="e">
        <f>SUM([1]Gen!B39)</f>
        <v>#REF!</v>
      </c>
    </row>
    <row r="31" spans="1:3" x14ac:dyDescent="0.2">
      <c r="A31" s="94">
        <f>Gen!B40</f>
        <v>44165</v>
      </c>
      <c r="B31" s="13">
        <f>'[1]Lpg (2)'!G39</f>
        <v>0</v>
      </c>
      <c r="C31" s="93" t="e">
        <f>SUM([1]Gen!B40)</f>
        <v>#REF!</v>
      </c>
    </row>
    <row r="32" spans="1:3" x14ac:dyDescent="0.2">
      <c r="A32" s="94">
        <f>Gen!B41</f>
        <v>44166</v>
      </c>
      <c r="B32" s="13">
        <f>'[1]Lpg (2)'!G40</f>
        <v>0</v>
      </c>
      <c r="C32" s="93" t="e">
        <f>SUM([1]Gen!B41)</f>
        <v>#REF!</v>
      </c>
    </row>
    <row r="33" spans="1:2" x14ac:dyDescent="0.2">
      <c r="A33" s="10"/>
      <c r="B33" s="13"/>
    </row>
    <row r="34" spans="1:2" x14ac:dyDescent="0.2">
      <c r="A34" s="10"/>
      <c r="B34" s="13"/>
    </row>
    <row r="35" spans="1:2" x14ac:dyDescent="0.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O78"/>
  <sheetViews>
    <sheetView topLeftCell="A10" zoomScale="94" zoomScaleNormal="94" workbookViewId="0">
      <pane xSplit="1" topLeftCell="B1" activePane="topRight" state="frozen"/>
      <selection pane="topRight" activeCell="P35" sqref="P35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 x14ac:dyDescent="0.35">
      <c r="A1" s="955" t="s">
        <v>315</v>
      </c>
      <c r="B1" s="956"/>
      <c r="C1" s="956"/>
      <c r="D1" s="956"/>
      <c r="E1" s="956"/>
      <c r="F1" s="956"/>
      <c r="G1" s="956"/>
      <c r="H1" s="956"/>
      <c r="I1" s="956"/>
      <c r="J1" s="956"/>
      <c r="K1" s="956"/>
      <c r="L1" s="956"/>
      <c r="M1" s="956"/>
      <c r="N1" s="956"/>
      <c r="O1" s="956"/>
      <c r="P1" s="956"/>
      <c r="Q1" s="956"/>
      <c r="R1" s="956"/>
      <c r="S1" s="956"/>
      <c r="T1" s="956"/>
      <c r="U1" s="956"/>
      <c r="V1" s="956"/>
      <c r="W1" s="956"/>
      <c r="X1" s="956"/>
      <c r="Y1" s="956"/>
      <c r="Z1" s="956"/>
      <c r="AA1" s="956"/>
      <c r="AB1" s="956"/>
      <c r="AC1" s="956"/>
      <c r="AD1" s="956"/>
      <c r="AE1" s="956"/>
      <c r="AF1" s="956"/>
      <c r="AG1" s="956"/>
      <c r="AH1" s="956"/>
      <c r="AI1" s="956"/>
      <c r="AJ1" s="956"/>
      <c r="AK1" s="956"/>
      <c r="AL1" s="956"/>
      <c r="AM1" s="956"/>
      <c r="AN1" s="956"/>
    </row>
    <row r="2" spans="1:40" ht="13.5" customHeight="1" thickTop="1" x14ac:dyDescent="0.25">
      <c r="A2" s="30"/>
      <c r="B2" s="30"/>
      <c r="C2" s="954" t="s">
        <v>52</v>
      </c>
      <c r="D2" s="954"/>
      <c r="E2" s="954"/>
      <c r="F2" s="954" t="s">
        <v>17</v>
      </c>
      <c r="G2" s="954"/>
      <c r="H2" s="954"/>
      <c r="I2" s="954" t="s">
        <v>131</v>
      </c>
      <c r="J2" s="954"/>
      <c r="K2" s="954"/>
      <c r="L2" s="954" t="s">
        <v>134</v>
      </c>
      <c r="M2" s="954"/>
      <c r="N2" s="954"/>
      <c r="O2" s="954" t="s">
        <v>132</v>
      </c>
      <c r="P2" s="954"/>
      <c r="Q2" s="954"/>
      <c r="R2" s="253"/>
      <c r="S2" s="963" t="s">
        <v>181</v>
      </c>
      <c r="T2" s="964"/>
      <c r="U2" s="965"/>
      <c r="V2" s="963" t="s">
        <v>182</v>
      </c>
      <c r="W2" s="964"/>
      <c r="X2" s="965"/>
      <c r="Y2" s="963" t="s">
        <v>183</v>
      </c>
      <c r="Z2" s="964"/>
      <c r="AA2" s="965"/>
      <c r="AB2" s="963" t="s">
        <v>184</v>
      </c>
      <c r="AC2" s="964"/>
      <c r="AD2" s="965"/>
      <c r="AE2" s="957" t="s">
        <v>239</v>
      </c>
      <c r="AF2" s="958"/>
      <c r="AG2" s="969"/>
      <c r="AH2" s="957" t="s">
        <v>243</v>
      </c>
      <c r="AI2" s="958"/>
      <c r="AJ2" s="969"/>
      <c r="AK2" s="957" t="s">
        <v>240</v>
      </c>
      <c r="AL2" s="958"/>
      <c r="AM2" s="958"/>
      <c r="AN2" s="961" t="s">
        <v>189</v>
      </c>
    </row>
    <row r="3" spans="1:40" ht="21.75" customHeight="1" thickBot="1" x14ac:dyDescent="0.3">
      <c r="A3" s="952" t="s">
        <v>7</v>
      </c>
      <c r="B3" s="30"/>
      <c r="C3" s="954" t="s">
        <v>133</v>
      </c>
      <c r="D3" s="954" t="s">
        <v>15</v>
      </c>
      <c r="E3" s="954" t="s">
        <v>16</v>
      </c>
      <c r="F3" s="954" t="s">
        <v>133</v>
      </c>
      <c r="G3" s="954" t="s">
        <v>15</v>
      </c>
      <c r="H3" s="954" t="s">
        <v>16</v>
      </c>
      <c r="I3" s="954" t="s">
        <v>133</v>
      </c>
      <c r="J3" s="954" t="s">
        <v>15</v>
      </c>
      <c r="K3" s="954" t="s">
        <v>16</v>
      </c>
      <c r="L3" s="954" t="s">
        <v>133</v>
      </c>
      <c r="M3" s="954" t="s">
        <v>15</v>
      </c>
      <c r="N3" s="954" t="s">
        <v>16</v>
      </c>
      <c r="O3" s="954" t="s">
        <v>133</v>
      </c>
      <c r="P3" s="954" t="s">
        <v>15</v>
      </c>
      <c r="Q3" s="954" t="s">
        <v>16</v>
      </c>
      <c r="R3" s="971" t="s">
        <v>185</v>
      </c>
      <c r="S3" s="966"/>
      <c r="T3" s="967"/>
      <c r="U3" s="968"/>
      <c r="V3" s="966"/>
      <c r="W3" s="967"/>
      <c r="X3" s="968"/>
      <c r="Y3" s="966"/>
      <c r="Z3" s="967"/>
      <c r="AA3" s="968"/>
      <c r="AB3" s="966"/>
      <c r="AC3" s="967"/>
      <c r="AD3" s="968"/>
      <c r="AE3" s="959"/>
      <c r="AF3" s="960"/>
      <c r="AG3" s="970"/>
      <c r="AH3" s="959"/>
      <c r="AI3" s="960"/>
      <c r="AJ3" s="970"/>
      <c r="AK3" s="959"/>
      <c r="AL3" s="960"/>
      <c r="AM3" s="960"/>
      <c r="AN3" s="962"/>
    </row>
    <row r="4" spans="1:40" ht="15.75" thickTop="1" x14ac:dyDescent="0.25">
      <c r="A4" s="953"/>
      <c r="B4" s="245"/>
      <c r="C4" s="954"/>
      <c r="D4" s="954"/>
      <c r="E4" s="954"/>
      <c r="F4" s="954"/>
      <c r="G4" s="954"/>
      <c r="H4" s="954"/>
      <c r="I4" s="954"/>
      <c r="J4" s="954"/>
      <c r="K4" s="954"/>
      <c r="L4" s="954"/>
      <c r="M4" s="954"/>
      <c r="N4" s="954"/>
      <c r="O4" s="954"/>
      <c r="P4" s="954"/>
      <c r="Q4" s="954"/>
      <c r="R4" s="971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05" t="s">
        <v>186</v>
      </c>
      <c r="AC4" s="606" t="s">
        <v>187</v>
      </c>
      <c r="AD4" s="607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 x14ac:dyDescent="0.3">
      <c r="A5" s="4"/>
      <c r="B5" s="4"/>
      <c r="C5" s="96">
        <f t="shared" ref="C5:C24" si="0">D4</f>
        <v>0</v>
      </c>
      <c r="D5" s="1">
        <v>243230</v>
      </c>
      <c r="E5" s="59">
        <f t="shared" ref="E5:E15" si="1">IF((D5-D4)&lt;0,"0",(D5-D4))</f>
        <v>243230</v>
      </c>
      <c r="F5" s="96">
        <f t="shared" ref="F5:F37" si="2">G4</f>
        <v>0</v>
      </c>
      <c r="G5" s="385">
        <v>38000</v>
      </c>
      <c r="H5" s="474">
        <v>0</v>
      </c>
      <c r="I5" s="96">
        <f t="shared" ref="I5:I24" si="3">J4</f>
        <v>0</v>
      </c>
      <c r="J5" s="1">
        <v>8086</v>
      </c>
      <c r="K5" s="474">
        <f t="shared" ref="K5:K6" si="4">J5-J4</f>
        <v>8086</v>
      </c>
      <c r="L5" s="96">
        <f t="shared" ref="L5:L24" si="5">M4</f>
        <v>0</v>
      </c>
      <c r="M5" s="1">
        <v>12907</v>
      </c>
      <c r="N5" s="474">
        <v>0</v>
      </c>
      <c r="O5" s="96">
        <f t="shared" ref="O5:O25" si="6">P4</f>
        <v>0</v>
      </c>
      <c r="P5" s="381">
        <v>20401</v>
      </c>
      <c r="Q5" s="474">
        <f t="shared" ref="Q5:Q27" si="7">IF((P5-P4)&lt;0,"0",(P5-P4))</f>
        <v>20401</v>
      </c>
      <c r="R5" s="247"/>
      <c r="S5" s="246"/>
      <c r="T5" s="382">
        <v>60573</v>
      </c>
      <c r="U5" s="246"/>
      <c r="V5" s="246" t="str">
        <f t="shared" ref="V5:V20" si="8">W4</f>
        <v>FINAL</v>
      </c>
      <c r="W5" s="382">
        <v>73031</v>
      </c>
      <c r="X5" s="247">
        <v>0</v>
      </c>
      <c r="Y5" s="246" t="str">
        <f t="shared" ref="Y5:Y37" si="9">Z4</f>
        <v>FINAL</v>
      </c>
      <c r="Z5" s="382">
        <v>85188</v>
      </c>
      <c r="AA5" s="247">
        <v>0</v>
      </c>
      <c r="AB5" s="608" t="str">
        <f>AC4</f>
        <v>FINAL</v>
      </c>
      <c r="AC5" s="612">
        <v>16234</v>
      </c>
      <c r="AD5" s="610"/>
      <c r="AE5" s="246" t="str">
        <f t="shared" ref="AE5:AE37" si="10">AF4</f>
        <v>FINAL</v>
      </c>
      <c r="AF5" s="383">
        <v>18300</v>
      </c>
      <c r="AG5" s="261">
        <v>0</v>
      </c>
      <c r="AH5" s="246" t="str">
        <f t="shared" ref="AH5:AH37" si="11">AI4</f>
        <v>FINAL</v>
      </c>
      <c r="AI5" s="383">
        <v>26621</v>
      </c>
      <c r="AJ5" s="261"/>
      <c r="AK5" s="316" t="str">
        <f t="shared" ref="AK5:AK37" si="12">AL4</f>
        <v>FINAL</v>
      </c>
      <c r="AL5" s="382"/>
      <c r="AM5" s="261"/>
      <c r="AN5" s="387"/>
    </row>
    <row r="6" spans="1:40" ht="23.1" customHeight="1" x14ac:dyDescent="0.3">
      <c r="A6" s="58">
        <f>Gen!B11</f>
        <v>44136</v>
      </c>
      <c r="B6" s="4"/>
      <c r="C6" s="96">
        <f t="shared" si="0"/>
        <v>243230</v>
      </c>
      <c r="D6" s="1">
        <v>243284</v>
      </c>
      <c r="E6" s="59">
        <f t="shared" si="1"/>
        <v>54</v>
      </c>
      <c r="F6" s="96">
        <f t="shared" si="2"/>
        <v>38000</v>
      </c>
      <c r="G6" s="385">
        <v>38000</v>
      </c>
      <c r="H6" s="474">
        <f t="shared" ref="H6:H24" si="13">IF((G6-G5)&lt;0,"0",(G6-G5))</f>
        <v>0</v>
      </c>
      <c r="I6" s="96">
        <f t="shared" si="3"/>
        <v>8086</v>
      </c>
      <c r="J6" s="1">
        <v>8086</v>
      </c>
      <c r="K6" s="474">
        <f t="shared" si="4"/>
        <v>0</v>
      </c>
      <c r="L6" s="96">
        <f t="shared" si="5"/>
        <v>12907</v>
      </c>
      <c r="M6" s="1">
        <v>12907</v>
      </c>
      <c r="N6" s="474">
        <f t="shared" ref="N6:N24" si="14">IF((M6-M5)&lt;0,"0",(M6-M5))</f>
        <v>0</v>
      </c>
      <c r="O6" s="96">
        <f t="shared" si="6"/>
        <v>20401</v>
      </c>
      <c r="P6" s="381">
        <v>20406</v>
      </c>
      <c r="Q6" s="474">
        <f t="shared" si="7"/>
        <v>5</v>
      </c>
      <c r="R6" s="251"/>
      <c r="S6" s="246">
        <f t="shared" ref="S6:S24" si="15">T5</f>
        <v>60573</v>
      </c>
      <c r="T6" s="382">
        <v>60573</v>
      </c>
      <c r="U6" s="475">
        <f t="shared" ref="U6:U24" si="16">IF((T6-T5)&lt;0,"0",(T6-T5))</f>
        <v>0</v>
      </c>
      <c r="V6" s="246">
        <f t="shared" si="8"/>
        <v>73031</v>
      </c>
      <c r="W6" s="382">
        <v>73031</v>
      </c>
      <c r="X6" s="475">
        <f t="shared" ref="X6:X37" si="17">IF((W6-W5)&lt;0,"0",(W6-W5))</f>
        <v>0</v>
      </c>
      <c r="Y6" s="246">
        <f t="shared" si="9"/>
        <v>85188</v>
      </c>
      <c r="Z6" s="382">
        <v>85189</v>
      </c>
      <c r="AA6" s="475">
        <f t="shared" ref="AA6:AA37" si="18">IF((Z6-Z5)&lt;0,"0",(Z6-Z5))</f>
        <v>1</v>
      </c>
      <c r="AB6" s="608">
        <f>AC5</f>
        <v>16234</v>
      </c>
      <c r="AC6" s="619">
        <v>16253</v>
      </c>
      <c r="AD6" s="611">
        <f>IF((AC6-AC5)&lt;0,"0",(AC6-AC5))</f>
        <v>19</v>
      </c>
      <c r="AE6" s="246">
        <f t="shared" si="10"/>
        <v>18300</v>
      </c>
      <c r="AF6" s="383">
        <v>18300</v>
      </c>
      <c r="AG6" s="475">
        <f t="shared" ref="AG6:AG37" si="19">IF((AF6-AF5)&lt;0,"0",(AF6-AF5))</f>
        <v>0</v>
      </c>
      <c r="AH6" s="246">
        <f t="shared" si="11"/>
        <v>26621</v>
      </c>
      <c r="AI6" s="383">
        <v>26643</v>
      </c>
      <c r="AJ6" s="475">
        <f t="shared" ref="AJ6:AJ37" si="20">IF((AI6-AI5)&lt;0,"0",(AI6-AI5))</f>
        <v>22</v>
      </c>
      <c r="AK6" s="316">
        <f t="shared" si="12"/>
        <v>0</v>
      </c>
      <c r="AL6" s="382"/>
      <c r="AM6" s="475">
        <f t="shared" ref="AM6:AM37" si="21">IF((AL6-AL5)&lt;0,"0",(AL6-AL5))</f>
        <v>0</v>
      </c>
      <c r="AN6" s="387">
        <f>U6+X6+AA6+AD6+AG6+AJ6+AM6</f>
        <v>42</v>
      </c>
    </row>
    <row r="7" spans="1:40" ht="23.1" customHeight="1" x14ac:dyDescent="0.3">
      <c r="A7" s="58">
        <f>Gen!B12</f>
        <v>44137</v>
      </c>
      <c r="B7" s="4"/>
      <c r="C7" s="96">
        <f t="shared" si="0"/>
        <v>243284</v>
      </c>
      <c r="D7" s="1">
        <v>243332</v>
      </c>
      <c r="E7" s="59">
        <f t="shared" si="1"/>
        <v>48</v>
      </c>
      <c r="F7" s="96">
        <f t="shared" si="2"/>
        <v>38000</v>
      </c>
      <c r="G7" s="385">
        <v>38000</v>
      </c>
      <c r="H7" s="474">
        <f t="shared" si="13"/>
        <v>0</v>
      </c>
      <c r="I7" s="96">
        <f t="shared" si="3"/>
        <v>8086</v>
      </c>
      <c r="J7" s="1">
        <v>8087</v>
      </c>
      <c r="K7" s="474">
        <f>J7-J6</f>
        <v>1</v>
      </c>
      <c r="L7" s="96">
        <f t="shared" si="5"/>
        <v>12907</v>
      </c>
      <c r="M7" s="1">
        <v>12907</v>
      </c>
      <c r="N7" s="474">
        <f t="shared" si="14"/>
        <v>0</v>
      </c>
      <c r="O7" s="96">
        <f t="shared" si="6"/>
        <v>20406</v>
      </c>
      <c r="P7" s="381">
        <v>20409</v>
      </c>
      <c r="Q7" s="474">
        <f t="shared" si="7"/>
        <v>3</v>
      </c>
      <c r="R7" s="251"/>
      <c r="S7" s="246">
        <f t="shared" si="15"/>
        <v>60573</v>
      </c>
      <c r="T7" s="382">
        <v>60634</v>
      </c>
      <c r="U7" s="475">
        <f t="shared" si="16"/>
        <v>61</v>
      </c>
      <c r="V7" s="246">
        <f t="shared" si="8"/>
        <v>73031</v>
      </c>
      <c r="W7" s="382">
        <v>73031</v>
      </c>
      <c r="X7" s="475">
        <f t="shared" si="17"/>
        <v>0</v>
      </c>
      <c r="Y7" s="246">
        <f t="shared" si="9"/>
        <v>85189</v>
      </c>
      <c r="Z7" s="382">
        <v>85189</v>
      </c>
      <c r="AA7" s="475">
        <f t="shared" si="18"/>
        <v>0</v>
      </c>
      <c r="AB7" s="608">
        <f t="shared" ref="AB7:AB37" si="22">AC6</f>
        <v>16253</v>
      </c>
      <c r="AC7" s="609">
        <v>16272</v>
      </c>
      <c r="AD7" s="611">
        <f t="shared" ref="AD7:AD37" si="23">IF((AC7-AC6)&lt;0,"0",(AC7-AC6))</f>
        <v>19</v>
      </c>
      <c r="AE7" s="246">
        <f t="shared" si="10"/>
        <v>18300</v>
      </c>
      <c r="AF7" s="383">
        <v>18300</v>
      </c>
      <c r="AG7" s="475">
        <f t="shared" si="19"/>
        <v>0</v>
      </c>
      <c r="AH7" s="246">
        <f t="shared" si="11"/>
        <v>26643</v>
      </c>
      <c r="AI7" s="383">
        <v>26666</v>
      </c>
      <c r="AJ7" s="475">
        <f t="shared" si="20"/>
        <v>23</v>
      </c>
      <c r="AK7" s="316">
        <f t="shared" si="12"/>
        <v>0</v>
      </c>
      <c r="AL7" s="382"/>
      <c r="AM7" s="475">
        <f t="shared" si="21"/>
        <v>0</v>
      </c>
      <c r="AN7" s="387">
        <f t="shared" ref="AN7:AN36" si="24">U7+X7+AA7+AD7+AG7+AJ7+AM7</f>
        <v>103</v>
      </c>
    </row>
    <row r="8" spans="1:40" ht="23.1" customHeight="1" x14ac:dyDescent="0.3">
      <c r="A8" s="58">
        <f>Gen!B13</f>
        <v>44138</v>
      </c>
      <c r="B8" s="4"/>
      <c r="C8" s="96">
        <f t="shared" si="0"/>
        <v>243332</v>
      </c>
      <c r="D8" s="1">
        <v>243413</v>
      </c>
      <c r="E8" s="59">
        <f t="shared" si="1"/>
        <v>81</v>
      </c>
      <c r="F8" s="96">
        <f t="shared" si="2"/>
        <v>38000</v>
      </c>
      <c r="G8" s="385">
        <v>38000</v>
      </c>
      <c r="H8" s="474">
        <f t="shared" si="13"/>
        <v>0</v>
      </c>
      <c r="I8" s="96">
        <f t="shared" si="3"/>
        <v>8087</v>
      </c>
      <c r="J8" s="1">
        <v>8089</v>
      </c>
      <c r="K8" s="474">
        <f>J8-J7</f>
        <v>2</v>
      </c>
      <c r="L8" s="96">
        <f t="shared" si="5"/>
        <v>12907</v>
      </c>
      <c r="M8" s="1">
        <v>12907</v>
      </c>
      <c r="N8" s="474">
        <f t="shared" si="14"/>
        <v>0</v>
      </c>
      <c r="O8" s="96">
        <f t="shared" si="6"/>
        <v>20409</v>
      </c>
      <c r="P8" s="381">
        <v>20420</v>
      </c>
      <c r="Q8" s="474">
        <f t="shared" si="7"/>
        <v>11</v>
      </c>
      <c r="R8" s="251"/>
      <c r="S8" s="246">
        <f t="shared" si="15"/>
        <v>60634</v>
      </c>
      <c r="T8" s="382">
        <v>60719</v>
      </c>
      <c r="U8" s="475">
        <f t="shared" si="16"/>
        <v>85</v>
      </c>
      <c r="V8" s="246">
        <f t="shared" si="8"/>
        <v>73031</v>
      </c>
      <c r="W8" s="382">
        <v>73031</v>
      </c>
      <c r="X8" s="475">
        <f t="shared" si="17"/>
        <v>0</v>
      </c>
      <c r="Y8" s="246">
        <f t="shared" si="9"/>
        <v>85189</v>
      </c>
      <c r="Z8" s="382">
        <v>85220</v>
      </c>
      <c r="AA8" s="475">
        <f t="shared" si="18"/>
        <v>31</v>
      </c>
      <c r="AB8" s="608">
        <f t="shared" si="22"/>
        <v>16272</v>
      </c>
      <c r="AC8" s="609">
        <v>16290</v>
      </c>
      <c r="AD8" s="611">
        <f t="shared" si="23"/>
        <v>18</v>
      </c>
      <c r="AE8" s="246">
        <f t="shared" si="10"/>
        <v>18300</v>
      </c>
      <c r="AF8" s="383">
        <v>18300</v>
      </c>
      <c r="AG8" s="475">
        <f t="shared" si="19"/>
        <v>0</v>
      </c>
      <c r="AH8" s="246">
        <f t="shared" si="11"/>
        <v>26666</v>
      </c>
      <c r="AI8" s="383">
        <v>26687</v>
      </c>
      <c r="AJ8" s="475">
        <f t="shared" si="20"/>
        <v>21</v>
      </c>
      <c r="AK8" s="316">
        <f t="shared" si="12"/>
        <v>0</v>
      </c>
      <c r="AL8" s="382"/>
      <c r="AM8" s="475">
        <f t="shared" si="21"/>
        <v>0</v>
      </c>
      <c r="AN8" s="387">
        <f t="shared" si="24"/>
        <v>155</v>
      </c>
    </row>
    <row r="9" spans="1:40" ht="23.1" customHeight="1" x14ac:dyDescent="0.3">
      <c r="A9" s="58">
        <f>Gen!B14</f>
        <v>44139</v>
      </c>
      <c r="B9" s="4"/>
      <c r="C9" s="96">
        <f t="shared" si="0"/>
        <v>243413</v>
      </c>
      <c r="D9" s="1">
        <v>243463</v>
      </c>
      <c r="E9" s="59">
        <f t="shared" si="1"/>
        <v>50</v>
      </c>
      <c r="F9" s="96">
        <f t="shared" si="2"/>
        <v>38000</v>
      </c>
      <c r="G9" s="385">
        <v>38000</v>
      </c>
      <c r="H9" s="474">
        <f t="shared" si="13"/>
        <v>0</v>
      </c>
      <c r="I9" s="96">
        <f t="shared" si="3"/>
        <v>8089</v>
      </c>
      <c r="J9" s="1">
        <v>8090</v>
      </c>
      <c r="K9" s="474">
        <f>J9-J8</f>
        <v>1</v>
      </c>
      <c r="L9" s="96">
        <f t="shared" si="5"/>
        <v>12907</v>
      </c>
      <c r="M9" s="1">
        <v>12907</v>
      </c>
      <c r="N9" s="474">
        <f t="shared" si="14"/>
        <v>0</v>
      </c>
      <c r="O9" s="96">
        <f t="shared" si="6"/>
        <v>20420</v>
      </c>
      <c r="P9" s="381">
        <v>20429</v>
      </c>
      <c r="Q9" s="474">
        <f t="shared" si="7"/>
        <v>9</v>
      </c>
      <c r="R9" s="251"/>
      <c r="S9" s="246">
        <f t="shared" si="15"/>
        <v>60719</v>
      </c>
      <c r="T9" s="382">
        <v>60800</v>
      </c>
      <c r="U9" s="475">
        <f t="shared" si="16"/>
        <v>81</v>
      </c>
      <c r="V9" s="246">
        <f t="shared" si="8"/>
        <v>73031</v>
      </c>
      <c r="W9" s="382">
        <v>73031</v>
      </c>
      <c r="X9" s="475">
        <f t="shared" si="17"/>
        <v>0</v>
      </c>
      <c r="Y9" s="246">
        <f t="shared" si="9"/>
        <v>85220</v>
      </c>
      <c r="Z9" s="382">
        <v>85268</v>
      </c>
      <c r="AA9" s="475">
        <f t="shared" si="18"/>
        <v>48</v>
      </c>
      <c r="AB9" s="608">
        <f t="shared" si="22"/>
        <v>16290</v>
      </c>
      <c r="AC9" s="609">
        <v>16308</v>
      </c>
      <c r="AD9" s="611">
        <f t="shared" si="23"/>
        <v>18</v>
      </c>
      <c r="AE9" s="246">
        <f t="shared" si="10"/>
        <v>18300</v>
      </c>
      <c r="AF9" s="383">
        <v>18300</v>
      </c>
      <c r="AG9" s="475">
        <f t="shared" si="19"/>
        <v>0</v>
      </c>
      <c r="AH9" s="246">
        <f t="shared" ref="AH9" si="25">AI9</f>
        <v>26709</v>
      </c>
      <c r="AI9" s="383">
        <v>26709</v>
      </c>
      <c r="AJ9" s="475">
        <f t="shared" si="20"/>
        <v>22</v>
      </c>
      <c r="AK9" s="316">
        <f t="shared" si="12"/>
        <v>0</v>
      </c>
      <c r="AL9" s="382"/>
      <c r="AM9" s="475">
        <f t="shared" si="21"/>
        <v>0</v>
      </c>
      <c r="AN9" s="387">
        <f t="shared" si="24"/>
        <v>169</v>
      </c>
    </row>
    <row r="10" spans="1:40" ht="23.1" customHeight="1" x14ac:dyDescent="0.3">
      <c r="A10" s="58">
        <f>Gen!B15</f>
        <v>44140</v>
      </c>
      <c r="B10" s="4"/>
      <c r="C10" s="96">
        <f t="shared" si="0"/>
        <v>243463</v>
      </c>
      <c r="D10" s="1">
        <v>243521</v>
      </c>
      <c r="E10" s="59">
        <f t="shared" si="1"/>
        <v>58</v>
      </c>
      <c r="F10" s="96">
        <f t="shared" si="2"/>
        <v>38000</v>
      </c>
      <c r="G10" s="385">
        <v>38000</v>
      </c>
      <c r="H10" s="474">
        <f t="shared" si="13"/>
        <v>0</v>
      </c>
      <c r="I10" s="96">
        <f t="shared" si="3"/>
        <v>8090</v>
      </c>
      <c r="J10" s="1">
        <v>8091</v>
      </c>
      <c r="K10" s="474">
        <f t="shared" ref="K10:K27" si="26">IF((J10-J9)&lt;0,"0",(J10-J9))</f>
        <v>1</v>
      </c>
      <c r="L10" s="96">
        <f t="shared" si="5"/>
        <v>12907</v>
      </c>
      <c r="M10" s="1">
        <v>12907</v>
      </c>
      <c r="N10" s="474">
        <f t="shared" si="14"/>
        <v>0</v>
      </c>
      <c r="O10" s="96">
        <f t="shared" si="6"/>
        <v>20429</v>
      </c>
      <c r="P10" s="381">
        <v>20439</v>
      </c>
      <c r="Q10" s="474">
        <f t="shared" si="7"/>
        <v>10</v>
      </c>
      <c r="R10" s="251"/>
      <c r="S10" s="246">
        <f t="shared" si="15"/>
        <v>60800</v>
      </c>
      <c r="T10" s="382">
        <v>60887</v>
      </c>
      <c r="U10" s="475">
        <f t="shared" si="16"/>
        <v>87</v>
      </c>
      <c r="V10" s="246">
        <f t="shared" si="8"/>
        <v>73031</v>
      </c>
      <c r="W10" s="382">
        <v>73031</v>
      </c>
      <c r="X10" s="475">
        <f t="shared" si="17"/>
        <v>0</v>
      </c>
      <c r="Y10" s="246">
        <f t="shared" si="9"/>
        <v>85268</v>
      </c>
      <c r="Z10" s="382">
        <v>85268</v>
      </c>
      <c r="AA10" s="475">
        <f t="shared" si="18"/>
        <v>0</v>
      </c>
      <c r="AB10" s="608">
        <f t="shared" si="22"/>
        <v>16308</v>
      </c>
      <c r="AC10" s="609">
        <v>16327</v>
      </c>
      <c r="AD10" s="611">
        <f t="shared" si="23"/>
        <v>19</v>
      </c>
      <c r="AE10" s="246">
        <f t="shared" si="10"/>
        <v>18300</v>
      </c>
      <c r="AF10" s="383">
        <v>18300</v>
      </c>
      <c r="AG10" s="475">
        <f t="shared" si="19"/>
        <v>0</v>
      </c>
      <c r="AH10" s="246">
        <f t="shared" si="11"/>
        <v>26709</v>
      </c>
      <c r="AI10" s="383">
        <v>26722</v>
      </c>
      <c r="AJ10" s="475">
        <f t="shared" si="20"/>
        <v>13</v>
      </c>
      <c r="AK10" s="316">
        <f t="shared" si="12"/>
        <v>0</v>
      </c>
      <c r="AL10" s="382"/>
      <c r="AM10" s="475">
        <f t="shared" si="21"/>
        <v>0</v>
      </c>
      <c r="AN10" s="387">
        <f t="shared" si="24"/>
        <v>119</v>
      </c>
    </row>
    <row r="11" spans="1:40" ht="23.1" customHeight="1" x14ac:dyDescent="0.3">
      <c r="A11" s="58">
        <f>Gen!B16</f>
        <v>44141</v>
      </c>
      <c r="B11" s="4"/>
      <c r="C11" s="96">
        <f t="shared" si="0"/>
        <v>243521</v>
      </c>
      <c r="D11" s="1">
        <v>243583</v>
      </c>
      <c r="E11" s="59">
        <f t="shared" si="1"/>
        <v>62</v>
      </c>
      <c r="F11" s="96">
        <f t="shared" si="2"/>
        <v>38000</v>
      </c>
      <c r="G11" s="385">
        <v>38000</v>
      </c>
      <c r="H11" s="474">
        <f t="shared" si="13"/>
        <v>0</v>
      </c>
      <c r="I11" s="96">
        <f t="shared" si="3"/>
        <v>8091</v>
      </c>
      <c r="J11" s="1">
        <v>8091</v>
      </c>
      <c r="K11" s="474">
        <f t="shared" si="26"/>
        <v>0</v>
      </c>
      <c r="L11" s="96">
        <f t="shared" si="5"/>
        <v>12907</v>
      </c>
      <c r="M11" s="1">
        <v>12907</v>
      </c>
      <c r="N11" s="474">
        <f t="shared" si="14"/>
        <v>0</v>
      </c>
      <c r="O11" s="96">
        <f t="shared" si="6"/>
        <v>20439</v>
      </c>
      <c r="P11" s="381">
        <v>20449</v>
      </c>
      <c r="Q11" s="474">
        <f t="shared" si="7"/>
        <v>10</v>
      </c>
      <c r="R11" s="251"/>
      <c r="S11" s="246">
        <f t="shared" si="15"/>
        <v>60887</v>
      </c>
      <c r="T11" s="382">
        <v>60902</v>
      </c>
      <c r="U11" s="475">
        <f t="shared" si="16"/>
        <v>15</v>
      </c>
      <c r="V11" s="246">
        <f t="shared" si="8"/>
        <v>73031</v>
      </c>
      <c r="W11" s="382">
        <v>73031</v>
      </c>
      <c r="X11" s="475">
        <f t="shared" si="17"/>
        <v>0</v>
      </c>
      <c r="Y11" s="246">
        <f t="shared" si="9"/>
        <v>85268</v>
      </c>
      <c r="Z11" s="382">
        <v>85268</v>
      </c>
      <c r="AA11" s="475">
        <f t="shared" si="18"/>
        <v>0</v>
      </c>
      <c r="AB11" s="608">
        <f t="shared" si="22"/>
        <v>16327</v>
      </c>
      <c r="AC11" s="609">
        <v>16346</v>
      </c>
      <c r="AD11" s="611">
        <f t="shared" si="23"/>
        <v>19</v>
      </c>
      <c r="AE11" s="246">
        <f>AF11</f>
        <v>18300</v>
      </c>
      <c r="AF11" s="383">
        <v>18300</v>
      </c>
      <c r="AG11" s="475">
        <f t="shared" si="19"/>
        <v>0</v>
      </c>
      <c r="AH11" s="246">
        <f t="shared" si="11"/>
        <v>26722</v>
      </c>
      <c r="AI11" s="383">
        <v>26722</v>
      </c>
      <c r="AJ11" s="475">
        <f t="shared" si="20"/>
        <v>0</v>
      </c>
      <c r="AK11" s="316">
        <f t="shared" si="12"/>
        <v>0</v>
      </c>
      <c r="AL11" s="382"/>
      <c r="AM11" s="475">
        <f t="shared" si="21"/>
        <v>0</v>
      </c>
      <c r="AN11" s="387">
        <f t="shared" si="24"/>
        <v>34</v>
      </c>
    </row>
    <row r="12" spans="1:40" ht="23.1" customHeight="1" x14ac:dyDescent="0.3">
      <c r="A12" s="58">
        <f>Gen!B17</f>
        <v>44142</v>
      </c>
      <c r="B12" s="4"/>
      <c r="C12" s="96">
        <f t="shared" si="0"/>
        <v>243583</v>
      </c>
      <c r="D12" s="1">
        <v>243666</v>
      </c>
      <c r="E12" s="59">
        <f t="shared" si="1"/>
        <v>83</v>
      </c>
      <c r="F12" s="96">
        <f t="shared" si="2"/>
        <v>38000</v>
      </c>
      <c r="G12" s="385">
        <v>38000</v>
      </c>
      <c r="H12" s="474">
        <f t="shared" si="13"/>
        <v>0</v>
      </c>
      <c r="I12" s="96">
        <f t="shared" si="3"/>
        <v>8091</v>
      </c>
      <c r="J12" s="1">
        <v>8092</v>
      </c>
      <c r="K12" s="474">
        <f t="shared" si="26"/>
        <v>1</v>
      </c>
      <c r="L12" s="96">
        <f t="shared" si="5"/>
        <v>12907</v>
      </c>
      <c r="M12" s="1">
        <v>12907</v>
      </c>
      <c r="N12" s="474">
        <f t="shared" si="14"/>
        <v>0</v>
      </c>
      <c r="O12" s="96">
        <f t="shared" si="6"/>
        <v>20449</v>
      </c>
      <c r="P12" s="381">
        <v>20458</v>
      </c>
      <c r="Q12" s="474">
        <f t="shared" si="7"/>
        <v>9</v>
      </c>
      <c r="R12" s="251"/>
      <c r="S12" s="246">
        <f t="shared" si="15"/>
        <v>60902</v>
      </c>
      <c r="T12" s="382">
        <v>60960</v>
      </c>
      <c r="U12" s="475">
        <f t="shared" si="16"/>
        <v>58</v>
      </c>
      <c r="V12" s="246">
        <f t="shared" si="8"/>
        <v>73031</v>
      </c>
      <c r="W12" s="382">
        <v>73031</v>
      </c>
      <c r="X12" s="475">
        <f t="shared" si="17"/>
        <v>0</v>
      </c>
      <c r="Y12" s="246">
        <f t="shared" si="9"/>
        <v>85268</v>
      </c>
      <c r="Z12" s="382">
        <v>85290</v>
      </c>
      <c r="AA12" s="475">
        <f t="shared" si="18"/>
        <v>22</v>
      </c>
      <c r="AB12" s="608">
        <f t="shared" si="22"/>
        <v>16346</v>
      </c>
      <c r="AC12" s="609">
        <v>16364</v>
      </c>
      <c r="AD12" s="611">
        <f t="shared" si="23"/>
        <v>18</v>
      </c>
      <c r="AE12" s="246">
        <f t="shared" ref="AE12:AE20" si="27">AF12</f>
        <v>18300</v>
      </c>
      <c r="AF12" s="383">
        <v>18300</v>
      </c>
      <c r="AG12" s="475">
        <f t="shared" si="19"/>
        <v>0</v>
      </c>
      <c r="AH12" s="246">
        <f t="shared" si="11"/>
        <v>26722</v>
      </c>
      <c r="AI12" s="383">
        <v>26738</v>
      </c>
      <c r="AJ12" s="475">
        <f t="shared" si="20"/>
        <v>16</v>
      </c>
      <c r="AK12" s="316">
        <f t="shared" si="12"/>
        <v>0</v>
      </c>
      <c r="AL12" s="382"/>
      <c r="AM12" s="475">
        <f t="shared" si="21"/>
        <v>0</v>
      </c>
      <c r="AN12" s="387">
        <f t="shared" si="24"/>
        <v>114</v>
      </c>
    </row>
    <row r="13" spans="1:40" ht="23.1" customHeight="1" x14ac:dyDescent="0.3">
      <c r="A13" s="58">
        <f>Gen!B18</f>
        <v>44143</v>
      </c>
      <c r="B13" s="4"/>
      <c r="C13" s="96">
        <f t="shared" si="0"/>
        <v>243666</v>
      </c>
      <c r="D13" s="1">
        <v>243729</v>
      </c>
      <c r="E13" s="59">
        <f t="shared" si="1"/>
        <v>63</v>
      </c>
      <c r="F13" s="96">
        <f t="shared" si="2"/>
        <v>38000</v>
      </c>
      <c r="G13" s="385">
        <v>38000</v>
      </c>
      <c r="H13" s="474">
        <f t="shared" si="13"/>
        <v>0</v>
      </c>
      <c r="I13" s="96">
        <f t="shared" si="3"/>
        <v>8092</v>
      </c>
      <c r="J13" s="1">
        <v>8092</v>
      </c>
      <c r="K13" s="474">
        <f t="shared" si="26"/>
        <v>0</v>
      </c>
      <c r="L13" s="96">
        <f t="shared" si="5"/>
        <v>12907</v>
      </c>
      <c r="M13" s="1">
        <v>12907</v>
      </c>
      <c r="N13" s="474">
        <f t="shared" si="14"/>
        <v>0</v>
      </c>
      <c r="O13" s="96">
        <f t="shared" si="6"/>
        <v>20458</v>
      </c>
      <c r="P13" s="381">
        <v>20471</v>
      </c>
      <c r="Q13" s="474">
        <f t="shared" si="7"/>
        <v>13</v>
      </c>
      <c r="R13" s="251"/>
      <c r="S13" s="246">
        <f t="shared" si="15"/>
        <v>60960</v>
      </c>
      <c r="T13" s="382">
        <v>61048</v>
      </c>
      <c r="U13" s="475">
        <f t="shared" si="16"/>
        <v>88</v>
      </c>
      <c r="V13" s="246">
        <f t="shared" si="8"/>
        <v>73031</v>
      </c>
      <c r="W13" s="382">
        <v>73031</v>
      </c>
      <c r="X13" s="475">
        <f t="shared" si="17"/>
        <v>0</v>
      </c>
      <c r="Y13" s="246">
        <f t="shared" si="9"/>
        <v>85290</v>
      </c>
      <c r="Z13" s="382">
        <v>85354</v>
      </c>
      <c r="AA13" s="475">
        <f t="shared" si="18"/>
        <v>64</v>
      </c>
      <c r="AB13" s="608">
        <f t="shared" si="22"/>
        <v>16364</v>
      </c>
      <c r="AC13" s="609">
        <v>16383</v>
      </c>
      <c r="AD13" s="611">
        <f t="shared" si="23"/>
        <v>19</v>
      </c>
      <c r="AE13" s="246">
        <f t="shared" si="27"/>
        <v>18300</v>
      </c>
      <c r="AF13" s="383">
        <v>18300</v>
      </c>
      <c r="AG13" s="475">
        <f t="shared" si="19"/>
        <v>0</v>
      </c>
      <c r="AH13" s="246">
        <f t="shared" si="11"/>
        <v>26738</v>
      </c>
      <c r="AI13" s="383">
        <v>26764</v>
      </c>
      <c r="AJ13" s="475">
        <f t="shared" si="20"/>
        <v>26</v>
      </c>
      <c r="AK13" s="316">
        <f t="shared" si="12"/>
        <v>0</v>
      </c>
      <c r="AL13" s="382"/>
      <c r="AM13" s="475">
        <f t="shared" si="21"/>
        <v>0</v>
      </c>
      <c r="AN13" s="387">
        <f t="shared" si="24"/>
        <v>197</v>
      </c>
    </row>
    <row r="14" spans="1:40" ht="23.1" customHeight="1" x14ac:dyDescent="0.3">
      <c r="A14" s="58">
        <f>Gen!B19</f>
        <v>44144</v>
      </c>
      <c r="B14" s="4"/>
      <c r="C14" s="96">
        <f t="shared" si="0"/>
        <v>243729</v>
      </c>
      <c r="D14" s="1">
        <v>243775</v>
      </c>
      <c r="E14" s="59">
        <f t="shared" si="1"/>
        <v>46</v>
      </c>
      <c r="F14" s="96">
        <f t="shared" si="2"/>
        <v>38000</v>
      </c>
      <c r="G14" s="385">
        <v>38000</v>
      </c>
      <c r="H14" s="474">
        <f t="shared" si="13"/>
        <v>0</v>
      </c>
      <c r="I14" s="96">
        <f t="shared" si="3"/>
        <v>8092</v>
      </c>
      <c r="J14" s="1">
        <v>8094</v>
      </c>
      <c r="K14" s="474">
        <f t="shared" si="26"/>
        <v>2</v>
      </c>
      <c r="L14" s="96">
        <f t="shared" si="5"/>
        <v>12907</v>
      </c>
      <c r="M14" s="1">
        <v>12907</v>
      </c>
      <c r="N14" s="474">
        <f t="shared" si="14"/>
        <v>0</v>
      </c>
      <c r="O14" s="96">
        <f t="shared" si="6"/>
        <v>20471</v>
      </c>
      <c r="P14" s="381">
        <v>20479</v>
      </c>
      <c r="Q14" s="474">
        <f t="shared" si="7"/>
        <v>8</v>
      </c>
      <c r="R14" s="251"/>
      <c r="S14" s="246">
        <f t="shared" si="15"/>
        <v>61048</v>
      </c>
      <c r="T14" s="382">
        <v>61124</v>
      </c>
      <c r="U14" s="475">
        <f t="shared" si="16"/>
        <v>76</v>
      </c>
      <c r="V14" s="246">
        <f t="shared" si="8"/>
        <v>73031</v>
      </c>
      <c r="W14" s="382">
        <v>73031</v>
      </c>
      <c r="X14" s="475">
        <f t="shared" si="17"/>
        <v>0</v>
      </c>
      <c r="Y14" s="246">
        <f t="shared" si="9"/>
        <v>85354</v>
      </c>
      <c r="Z14" s="382">
        <v>85401</v>
      </c>
      <c r="AA14" s="475">
        <f t="shared" si="18"/>
        <v>47</v>
      </c>
      <c r="AB14" s="608">
        <f t="shared" si="22"/>
        <v>16383</v>
      </c>
      <c r="AC14" s="612">
        <v>16401</v>
      </c>
      <c r="AD14" s="611">
        <f t="shared" si="23"/>
        <v>18</v>
      </c>
      <c r="AE14" s="246">
        <f t="shared" si="27"/>
        <v>18300</v>
      </c>
      <c r="AF14" s="383">
        <v>18300</v>
      </c>
      <c r="AG14" s="475">
        <f t="shared" si="19"/>
        <v>0</v>
      </c>
      <c r="AH14" s="246">
        <f t="shared" si="11"/>
        <v>26764</v>
      </c>
      <c r="AI14" s="383">
        <v>26786</v>
      </c>
      <c r="AJ14" s="475">
        <f t="shared" si="20"/>
        <v>22</v>
      </c>
      <c r="AK14" s="316">
        <f t="shared" si="12"/>
        <v>0</v>
      </c>
      <c r="AL14" s="382"/>
      <c r="AM14" s="475">
        <f t="shared" si="21"/>
        <v>0</v>
      </c>
      <c r="AN14" s="387">
        <f t="shared" si="24"/>
        <v>163</v>
      </c>
    </row>
    <row r="15" spans="1:40" ht="23.1" customHeight="1" x14ac:dyDescent="0.3">
      <c r="A15" s="58">
        <f>Gen!B20</f>
        <v>44145</v>
      </c>
      <c r="B15" s="4"/>
      <c r="C15" s="96">
        <f t="shared" si="0"/>
        <v>243775</v>
      </c>
      <c r="D15" s="1">
        <v>243828</v>
      </c>
      <c r="E15" s="59">
        <f t="shared" si="1"/>
        <v>53</v>
      </c>
      <c r="F15" s="96">
        <f t="shared" si="2"/>
        <v>38000</v>
      </c>
      <c r="G15" s="385">
        <v>38000</v>
      </c>
      <c r="H15" s="474">
        <f t="shared" si="13"/>
        <v>0</v>
      </c>
      <c r="I15" s="96">
        <f t="shared" si="3"/>
        <v>8094</v>
      </c>
      <c r="J15" s="1">
        <v>8095</v>
      </c>
      <c r="K15" s="474">
        <f t="shared" si="26"/>
        <v>1</v>
      </c>
      <c r="L15" s="96">
        <f t="shared" si="5"/>
        <v>12907</v>
      </c>
      <c r="M15" s="1">
        <v>12907</v>
      </c>
      <c r="N15" s="474">
        <f t="shared" si="14"/>
        <v>0</v>
      </c>
      <c r="O15" s="96">
        <f t="shared" si="6"/>
        <v>20479</v>
      </c>
      <c r="P15" s="381">
        <v>20490</v>
      </c>
      <c r="Q15" s="474">
        <f t="shared" si="7"/>
        <v>11</v>
      </c>
      <c r="R15" s="251"/>
      <c r="S15" s="246">
        <f t="shared" si="15"/>
        <v>61124</v>
      </c>
      <c r="T15" s="382">
        <v>61210</v>
      </c>
      <c r="U15" s="475">
        <f t="shared" si="16"/>
        <v>86</v>
      </c>
      <c r="V15" s="246">
        <f t="shared" si="8"/>
        <v>73031</v>
      </c>
      <c r="W15" s="382">
        <v>73031</v>
      </c>
      <c r="X15" s="475">
        <f t="shared" si="17"/>
        <v>0</v>
      </c>
      <c r="Y15" s="246">
        <f t="shared" si="9"/>
        <v>85401</v>
      </c>
      <c r="Z15" s="382">
        <v>85457</v>
      </c>
      <c r="AA15" s="475">
        <f t="shared" si="18"/>
        <v>56</v>
      </c>
      <c r="AB15" s="608">
        <f t="shared" si="22"/>
        <v>16401</v>
      </c>
      <c r="AC15" s="612">
        <v>16418</v>
      </c>
      <c r="AD15" s="611">
        <f t="shared" si="23"/>
        <v>17</v>
      </c>
      <c r="AE15" s="246">
        <f t="shared" si="27"/>
        <v>18300</v>
      </c>
      <c r="AF15" s="383">
        <v>18300</v>
      </c>
      <c r="AG15" s="475">
        <f t="shared" si="19"/>
        <v>0</v>
      </c>
      <c r="AH15" s="246">
        <f t="shared" si="11"/>
        <v>26786</v>
      </c>
      <c r="AI15" s="383">
        <v>26809</v>
      </c>
      <c r="AJ15" s="475">
        <f t="shared" si="20"/>
        <v>23</v>
      </c>
      <c r="AK15" s="316">
        <f t="shared" si="12"/>
        <v>0</v>
      </c>
      <c r="AL15" s="382"/>
      <c r="AM15" s="475">
        <f t="shared" si="21"/>
        <v>0</v>
      </c>
      <c r="AN15" s="387">
        <f t="shared" si="24"/>
        <v>182</v>
      </c>
    </row>
    <row r="16" spans="1:40" ht="23.1" customHeight="1" x14ac:dyDescent="0.3">
      <c r="A16" s="58">
        <f>Gen!B21</f>
        <v>44146</v>
      </c>
      <c r="B16" s="4"/>
      <c r="C16" s="96">
        <f t="shared" si="0"/>
        <v>243828</v>
      </c>
      <c r="D16" s="1">
        <v>243891</v>
      </c>
      <c r="E16" s="59">
        <f>IF((D16-D15)&lt;0,"0",(D16-D15))</f>
        <v>63</v>
      </c>
      <c r="F16" s="96">
        <f t="shared" si="2"/>
        <v>38000</v>
      </c>
      <c r="G16" s="385">
        <v>38000</v>
      </c>
      <c r="H16" s="474">
        <f t="shared" si="13"/>
        <v>0</v>
      </c>
      <c r="I16" s="96">
        <f t="shared" si="3"/>
        <v>8095</v>
      </c>
      <c r="J16" s="1">
        <v>8096</v>
      </c>
      <c r="K16" s="474">
        <f t="shared" si="26"/>
        <v>1</v>
      </c>
      <c r="L16" s="96">
        <f t="shared" si="5"/>
        <v>12907</v>
      </c>
      <c r="M16" s="1">
        <v>12907</v>
      </c>
      <c r="N16" s="474">
        <f t="shared" si="14"/>
        <v>0</v>
      </c>
      <c r="O16" s="96">
        <f t="shared" si="6"/>
        <v>20490</v>
      </c>
      <c r="P16" s="381">
        <v>20495</v>
      </c>
      <c r="Q16" s="474">
        <f t="shared" si="7"/>
        <v>5</v>
      </c>
      <c r="R16" s="251"/>
      <c r="S16" s="246">
        <f t="shared" si="15"/>
        <v>61210</v>
      </c>
      <c r="T16" s="382">
        <v>61295</v>
      </c>
      <c r="U16" s="475">
        <f t="shared" si="16"/>
        <v>85</v>
      </c>
      <c r="V16" s="246">
        <f t="shared" si="8"/>
        <v>73031</v>
      </c>
      <c r="W16" s="382">
        <v>73031</v>
      </c>
      <c r="X16" s="475">
        <f t="shared" si="17"/>
        <v>0</v>
      </c>
      <c r="Y16" s="246">
        <f t="shared" si="9"/>
        <v>85457</v>
      </c>
      <c r="Z16" s="382">
        <v>85512</v>
      </c>
      <c r="AA16" s="475">
        <f t="shared" si="18"/>
        <v>55</v>
      </c>
      <c r="AB16" s="608">
        <f t="shared" si="22"/>
        <v>16418</v>
      </c>
      <c r="AC16" s="612">
        <v>16437</v>
      </c>
      <c r="AD16" s="611">
        <f t="shared" si="23"/>
        <v>19</v>
      </c>
      <c r="AE16" s="246">
        <f t="shared" si="27"/>
        <v>18300</v>
      </c>
      <c r="AF16" s="383">
        <v>18300</v>
      </c>
      <c r="AG16" s="475">
        <f t="shared" si="19"/>
        <v>0</v>
      </c>
      <c r="AH16" s="246">
        <f t="shared" si="11"/>
        <v>26809</v>
      </c>
      <c r="AI16" s="383">
        <v>26832</v>
      </c>
      <c r="AJ16" s="475">
        <f t="shared" si="20"/>
        <v>23</v>
      </c>
      <c r="AK16" s="316">
        <f t="shared" si="12"/>
        <v>0</v>
      </c>
      <c r="AL16" s="382"/>
      <c r="AM16" s="475">
        <f t="shared" si="21"/>
        <v>0</v>
      </c>
      <c r="AN16" s="387">
        <f t="shared" si="24"/>
        <v>182</v>
      </c>
    </row>
    <row r="17" spans="1:40" ht="23.1" customHeight="1" x14ac:dyDescent="0.3">
      <c r="A17" s="58">
        <f>Gen!B22</f>
        <v>44147</v>
      </c>
      <c r="B17" s="4"/>
      <c r="C17" s="96">
        <f t="shared" si="0"/>
        <v>243891</v>
      </c>
      <c r="D17" s="1">
        <v>243939</v>
      </c>
      <c r="E17" s="474">
        <f>IF((D17-D16)&lt;0,"0",(D17-D16))</f>
        <v>48</v>
      </c>
      <c r="F17" s="96">
        <f t="shared" si="2"/>
        <v>38000</v>
      </c>
      <c r="G17" s="385">
        <v>38000</v>
      </c>
      <c r="H17" s="474">
        <f t="shared" si="13"/>
        <v>0</v>
      </c>
      <c r="I17" s="96">
        <f t="shared" si="3"/>
        <v>8096</v>
      </c>
      <c r="J17" s="1">
        <v>8097</v>
      </c>
      <c r="K17" s="474">
        <f t="shared" si="26"/>
        <v>1</v>
      </c>
      <c r="L17" s="96">
        <f t="shared" si="5"/>
        <v>12907</v>
      </c>
      <c r="M17" s="1">
        <v>12907</v>
      </c>
      <c r="N17" s="474">
        <f t="shared" si="14"/>
        <v>0</v>
      </c>
      <c r="O17" s="96">
        <f t="shared" si="6"/>
        <v>20495</v>
      </c>
      <c r="P17" s="381">
        <v>20498</v>
      </c>
      <c r="Q17" s="474">
        <f t="shared" si="7"/>
        <v>3</v>
      </c>
      <c r="R17" s="251"/>
      <c r="S17" s="246">
        <f t="shared" si="15"/>
        <v>61295</v>
      </c>
      <c r="T17" s="382">
        <v>61297</v>
      </c>
      <c r="U17" s="475">
        <f t="shared" si="16"/>
        <v>2</v>
      </c>
      <c r="V17" s="246">
        <f t="shared" si="8"/>
        <v>73031</v>
      </c>
      <c r="W17" s="382">
        <v>73031</v>
      </c>
      <c r="X17" s="475">
        <f>IF((W17-W16)&lt;0,"0",(W17-W16))</f>
        <v>0</v>
      </c>
      <c r="Y17" s="246">
        <f t="shared" si="9"/>
        <v>85512</v>
      </c>
      <c r="Z17" s="382">
        <v>85567</v>
      </c>
      <c r="AA17" s="475">
        <f>IF((Z17-Z16)&lt;0,"0",(Z17-Z16))</f>
        <v>55</v>
      </c>
      <c r="AB17" s="608">
        <f t="shared" si="22"/>
        <v>16437</v>
      </c>
      <c r="AC17" s="612">
        <v>16455</v>
      </c>
      <c r="AD17" s="611">
        <f t="shared" si="23"/>
        <v>18</v>
      </c>
      <c r="AE17" s="246">
        <f t="shared" si="27"/>
        <v>18300</v>
      </c>
      <c r="AF17" s="383">
        <v>18300</v>
      </c>
      <c r="AG17" s="475">
        <f t="shared" si="19"/>
        <v>0</v>
      </c>
      <c r="AH17" s="246">
        <f t="shared" si="11"/>
        <v>26832</v>
      </c>
      <c r="AI17" s="383">
        <v>26855</v>
      </c>
      <c r="AJ17" s="475">
        <f t="shared" si="20"/>
        <v>23</v>
      </c>
      <c r="AK17" s="316">
        <f t="shared" si="12"/>
        <v>0</v>
      </c>
      <c r="AL17" s="382"/>
      <c r="AM17" s="475">
        <f>IF((AL17-AL16)&lt;0,"0",(AL17-AL16))</f>
        <v>0</v>
      </c>
      <c r="AN17" s="387">
        <f t="shared" si="24"/>
        <v>98</v>
      </c>
    </row>
    <row r="18" spans="1:40" ht="23.1" customHeight="1" x14ac:dyDescent="0.3">
      <c r="A18" s="58">
        <f>Gen!B23</f>
        <v>44148</v>
      </c>
      <c r="B18" s="4"/>
      <c r="C18" s="96">
        <f t="shared" si="0"/>
        <v>243939</v>
      </c>
      <c r="D18" s="1">
        <v>244001</v>
      </c>
      <c r="E18" s="474">
        <f t="shared" ref="E18:E37" si="28">IF((D18-D17)&lt;0,"0",(D18-D17))</f>
        <v>62</v>
      </c>
      <c r="F18" s="96">
        <f t="shared" si="2"/>
        <v>38000</v>
      </c>
      <c r="G18" s="385">
        <v>38000</v>
      </c>
      <c r="H18" s="474">
        <f t="shared" si="13"/>
        <v>0</v>
      </c>
      <c r="I18" s="96"/>
      <c r="J18" s="1">
        <v>8098</v>
      </c>
      <c r="K18" s="474">
        <f t="shared" si="26"/>
        <v>1</v>
      </c>
      <c r="L18" s="96">
        <f t="shared" si="5"/>
        <v>12907</v>
      </c>
      <c r="M18" s="1">
        <v>12907</v>
      </c>
      <c r="N18" s="474">
        <f t="shared" si="14"/>
        <v>0</v>
      </c>
      <c r="O18" s="96">
        <f t="shared" si="6"/>
        <v>20498</v>
      </c>
      <c r="P18" s="381">
        <v>20502</v>
      </c>
      <c r="Q18" s="474">
        <f t="shared" si="7"/>
        <v>4</v>
      </c>
      <c r="R18" s="251"/>
      <c r="S18" s="246">
        <f t="shared" si="15"/>
        <v>61297</v>
      </c>
      <c r="T18" s="382">
        <v>61297</v>
      </c>
      <c r="U18" s="475">
        <f t="shared" si="16"/>
        <v>0</v>
      </c>
      <c r="V18" s="246">
        <f t="shared" si="8"/>
        <v>73031</v>
      </c>
      <c r="W18" s="382">
        <v>73031</v>
      </c>
      <c r="X18" s="475">
        <f t="shared" si="17"/>
        <v>0</v>
      </c>
      <c r="Y18" s="246">
        <f t="shared" si="9"/>
        <v>85567</v>
      </c>
      <c r="Z18" s="382">
        <v>85624</v>
      </c>
      <c r="AA18" s="475">
        <f t="shared" si="18"/>
        <v>57</v>
      </c>
      <c r="AB18" s="608">
        <f t="shared" si="22"/>
        <v>16455</v>
      </c>
      <c r="AC18" s="612">
        <v>16474</v>
      </c>
      <c r="AD18" s="611">
        <f t="shared" si="23"/>
        <v>19</v>
      </c>
      <c r="AE18" s="246">
        <f t="shared" si="27"/>
        <v>18300</v>
      </c>
      <c r="AF18" s="383">
        <v>18300</v>
      </c>
      <c r="AG18" s="475">
        <f t="shared" si="19"/>
        <v>0</v>
      </c>
      <c r="AH18" s="246">
        <f>AI17</f>
        <v>26855</v>
      </c>
      <c r="AI18" s="383">
        <v>26877</v>
      </c>
      <c r="AJ18" s="475">
        <f t="shared" si="20"/>
        <v>22</v>
      </c>
      <c r="AK18" s="316">
        <f t="shared" si="12"/>
        <v>0</v>
      </c>
      <c r="AL18" s="382"/>
      <c r="AM18" s="475">
        <f t="shared" ref="AM18:AM26" si="29">IF((AL18-AL17)&lt;0,"0",(AL18-AL17))</f>
        <v>0</v>
      </c>
      <c r="AN18" s="387">
        <f t="shared" si="24"/>
        <v>98</v>
      </c>
    </row>
    <row r="19" spans="1:40" ht="23.1" customHeight="1" x14ac:dyDescent="0.3">
      <c r="A19" s="58">
        <f>Gen!B24</f>
        <v>44149</v>
      </c>
      <c r="B19" s="4"/>
      <c r="C19" s="96">
        <f t="shared" si="0"/>
        <v>244001</v>
      </c>
      <c r="D19" s="1">
        <v>244053</v>
      </c>
      <c r="E19" s="474">
        <f t="shared" si="28"/>
        <v>52</v>
      </c>
      <c r="F19" s="96">
        <f t="shared" si="2"/>
        <v>38000</v>
      </c>
      <c r="G19" s="385">
        <v>38000</v>
      </c>
      <c r="H19" s="474">
        <f t="shared" si="13"/>
        <v>0</v>
      </c>
      <c r="I19" s="96">
        <f t="shared" si="3"/>
        <v>8098</v>
      </c>
      <c r="J19" s="1">
        <v>8099</v>
      </c>
      <c r="K19" s="474">
        <f t="shared" si="26"/>
        <v>1</v>
      </c>
      <c r="L19" s="96">
        <f t="shared" si="5"/>
        <v>12907</v>
      </c>
      <c r="M19" s="1">
        <v>12907</v>
      </c>
      <c r="N19" s="474">
        <f t="shared" si="14"/>
        <v>0</v>
      </c>
      <c r="O19" s="96">
        <f t="shared" si="6"/>
        <v>20502</v>
      </c>
      <c r="P19" s="381">
        <v>20507</v>
      </c>
      <c r="Q19" s="474">
        <f t="shared" si="7"/>
        <v>5</v>
      </c>
      <c r="R19" s="251"/>
      <c r="S19" s="246">
        <f t="shared" si="15"/>
        <v>61297</v>
      </c>
      <c r="T19" s="382">
        <v>61297</v>
      </c>
      <c r="U19" s="475">
        <f t="shared" si="16"/>
        <v>0</v>
      </c>
      <c r="V19" s="246">
        <f t="shared" si="8"/>
        <v>73031</v>
      </c>
      <c r="W19" s="382">
        <v>73031</v>
      </c>
      <c r="X19" s="475">
        <f t="shared" si="17"/>
        <v>0</v>
      </c>
      <c r="Y19" s="246">
        <f t="shared" si="9"/>
        <v>85624</v>
      </c>
      <c r="Z19" s="382">
        <v>85679</v>
      </c>
      <c r="AA19" s="475">
        <f t="shared" si="18"/>
        <v>55</v>
      </c>
      <c r="AB19" s="608">
        <f t="shared" si="22"/>
        <v>16474</v>
      </c>
      <c r="AC19" s="612">
        <v>16493</v>
      </c>
      <c r="AD19" s="611">
        <f t="shared" si="23"/>
        <v>19</v>
      </c>
      <c r="AE19" s="246">
        <f t="shared" si="27"/>
        <v>18300</v>
      </c>
      <c r="AF19" s="383">
        <v>18300</v>
      </c>
      <c r="AG19" s="475">
        <f t="shared" si="19"/>
        <v>0</v>
      </c>
      <c r="AH19" s="246">
        <f>AI18</f>
        <v>26877</v>
      </c>
      <c r="AI19" s="383">
        <v>26899</v>
      </c>
      <c r="AJ19" s="475">
        <f t="shared" si="20"/>
        <v>22</v>
      </c>
      <c r="AK19" s="316">
        <f t="shared" si="12"/>
        <v>0</v>
      </c>
      <c r="AL19" s="382"/>
      <c r="AM19" s="475">
        <f t="shared" si="29"/>
        <v>0</v>
      </c>
      <c r="AN19" s="387">
        <f t="shared" si="24"/>
        <v>96</v>
      </c>
    </row>
    <row r="20" spans="1:40" ht="23.1" customHeight="1" x14ac:dyDescent="0.3">
      <c r="A20" s="58">
        <f>Gen!B25</f>
        <v>44150</v>
      </c>
      <c r="B20" s="4"/>
      <c r="C20" s="96">
        <f t="shared" si="0"/>
        <v>244053</v>
      </c>
      <c r="D20" s="1">
        <v>244131</v>
      </c>
      <c r="E20" s="474">
        <f t="shared" si="28"/>
        <v>78</v>
      </c>
      <c r="F20" s="96">
        <f t="shared" si="2"/>
        <v>38000</v>
      </c>
      <c r="G20" s="385">
        <v>38000</v>
      </c>
      <c r="H20" s="474">
        <f t="shared" si="13"/>
        <v>0</v>
      </c>
      <c r="I20" s="96">
        <f t="shared" si="3"/>
        <v>8099</v>
      </c>
      <c r="J20" s="1">
        <v>8100</v>
      </c>
      <c r="K20" s="474">
        <f t="shared" si="26"/>
        <v>1</v>
      </c>
      <c r="L20" s="96">
        <f t="shared" si="5"/>
        <v>12907</v>
      </c>
      <c r="M20" s="1">
        <v>12907</v>
      </c>
      <c r="N20" s="474">
        <f t="shared" si="14"/>
        <v>0</v>
      </c>
      <c r="O20" s="96">
        <f t="shared" si="6"/>
        <v>20507</v>
      </c>
      <c r="P20" s="381">
        <v>20511</v>
      </c>
      <c r="Q20" s="474">
        <f t="shared" si="7"/>
        <v>4</v>
      </c>
      <c r="R20" s="251"/>
      <c r="S20" s="246">
        <f t="shared" si="15"/>
        <v>61297</v>
      </c>
      <c r="T20" s="382">
        <v>61297</v>
      </c>
      <c r="U20" s="475">
        <f t="shared" si="16"/>
        <v>0</v>
      </c>
      <c r="V20" s="246">
        <f t="shared" si="8"/>
        <v>73031</v>
      </c>
      <c r="W20" s="382">
        <v>73031</v>
      </c>
      <c r="X20" s="475">
        <f t="shared" si="17"/>
        <v>0</v>
      </c>
      <c r="Y20" s="246">
        <f t="shared" si="9"/>
        <v>85679</v>
      </c>
      <c r="Z20" s="382">
        <v>85734</v>
      </c>
      <c r="AA20" s="475">
        <f t="shared" si="18"/>
        <v>55</v>
      </c>
      <c r="AB20" s="608">
        <f t="shared" si="22"/>
        <v>16493</v>
      </c>
      <c r="AC20" s="612">
        <v>16511</v>
      </c>
      <c r="AD20" s="611">
        <f t="shared" si="23"/>
        <v>18</v>
      </c>
      <c r="AE20" s="246">
        <f t="shared" si="27"/>
        <v>18300</v>
      </c>
      <c r="AF20" s="383">
        <v>18300</v>
      </c>
      <c r="AG20" s="475">
        <f t="shared" si="19"/>
        <v>0</v>
      </c>
      <c r="AH20" s="246">
        <f t="shared" si="11"/>
        <v>26899</v>
      </c>
      <c r="AI20" s="383">
        <v>26921</v>
      </c>
      <c r="AJ20" s="475">
        <f t="shared" si="20"/>
        <v>22</v>
      </c>
      <c r="AK20" s="316">
        <f t="shared" si="12"/>
        <v>0</v>
      </c>
      <c r="AL20" s="382"/>
      <c r="AM20" s="475">
        <f t="shared" si="29"/>
        <v>0</v>
      </c>
      <c r="AN20" s="387">
        <f t="shared" si="24"/>
        <v>95</v>
      </c>
    </row>
    <row r="21" spans="1:40" ht="23.1" customHeight="1" x14ac:dyDescent="0.3">
      <c r="A21" s="58">
        <f>Gen!B26</f>
        <v>44151</v>
      </c>
      <c r="B21" s="4"/>
      <c r="C21" s="96">
        <f t="shared" si="0"/>
        <v>244131</v>
      </c>
      <c r="D21" s="1">
        <v>244183</v>
      </c>
      <c r="E21" s="474">
        <f t="shared" si="28"/>
        <v>52</v>
      </c>
      <c r="F21" s="96">
        <f t="shared" si="2"/>
        <v>38000</v>
      </c>
      <c r="G21" s="385">
        <v>38000</v>
      </c>
      <c r="H21" s="474">
        <f t="shared" si="13"/>
        <v>0</v>
      </c>
      <c r="I21" s="96">
        <f t="shared" si="3"/>
        <v>8100</v>
      </c>
      <c r="J21" s="1">
        <v>8101</v>
      </c>
      <c r="K21" s="474">
        <f t="shared" si="26"/>
        <v>1</v>
      </c>
      <c r="L21" s="96">
        <f t="shared" si="5"/>
        <v>12907</v>
      </c>
      <c r="M21" s="1">
        <v>12907</v>
      </c>
      <c r="N21" s="474">
        <f t="shared" si="14"/>
        <v>0</v>
      </c>
      <c r="O21" s="96">
        <f t="shared" si="6"/>
        <v>20511</v>
      </c>
      <c r="P21" s="381">
        <v>20512</v>
      </c>
      <c r="Q21" s="474">
        <f t="shared" si="7"/>
        <v>1</v>
      </c>
      <c r="R21" s="251"/>
      <c r="S21" s="246">
        <f t="shared" si="15"/>
        <v>61297</v>
      </c>
      <c r="T21" s="382">
        <v>61297</v>
      </c>
      <c r="U21" s="475">
        <f t="shared" si="16"/>
        <v>0</v>
      </c>
      <c r="V21" s="246">
        <f t="shared" ref="V21:V37" si="30">W20</f>
        <v>73031</v>
      </c>
      <c r="W21" s="382">
        <v>73031</v>
      </c>
      <c r="X21" s="475">
        <f t="shared" si="17"/>
        <v>0</v>
      </c>
      <c r="Y21" s="246">
        <f t="shared" si="9"/>
        <v>85734</v>
      </c>
      <c r="Z21" s="382">
        <v>85786</v>
      </c>
      <c r="AA21" s="475">
        <f t="shared" si="18"/>
        <v>52</v>
      </c>
      <c r="AB21" s="608">
        <f t="shared" si="22"/>
        <v>16511</v>
      </c>
      <c r="AC21" s="612">
        <v>16530</v>
      </c>
      <c r="AD21" s="611">
        <f t="shared" si="23"/>
        <v>19</v>
      </c>
      <c r="AE21" s="246">
        <f t="shared" si="10"/>
        <v>18300</v>
      </c>
      <c r="AF21" s="383">
        <v>18300</v>
      </c>
      <c r="AG21" s="475">
        <f t="shared" si="19"/>
        <v>0</v>
      </c>
      <c r="AH21" s="246">
        <f t="shared" si="11"/>
        <v>26921</v>
      </c>
      <c r="AI21" s="383">
        <v>26945</v>
      </c>
      <c r="AJ21" s="475">
        <f t="shared" si="20"/>
        <v>24</v>
      </c>
      <c r="AK21" s="316">
        <f t="shared" si="12"/>
        <v>0</v>
      </c>
      <c r="AL21" s="382"/>
      <c r="AM21" s="475">
        <f t="shared" si="29"/>
        <v>0</v>
      </c>
      <c r="AN21" s="387">
        <f t="shared" si="24"/>
        <v>95</v>
      </c>
    </row>
    <row r="22" spans="1:40" ht="23.1" customHeight="1" x14ac:dyDescent="0.3">
      <c r="A22" s="58">
        <f>Gen!B27</f>
        <v>44152</v>
      </c>
      <c r="B22" s="4"/>
      <c r="C22" s="96">
        <f t="shared" si="0"/>
        <v>244183</v>
      </c>
      <c r="D22" s="1">
        <v>244236</v>
      </c>
      <c r="E22" s="474">
        <f t="shared" si="28"/>
        <v>53</v>
      </c>
      <c r="F22" s="96">
        <f t="shared" si="2"/>
        <v>38000</v>
      </c>
      <c r="G22" s="385">
        <v>38000</v>
      </c>
      <c r="H22" s="474">
        <f t="shared" si="13"/>
        <v>0</v>
      </c>
      <c r="I22" s="96">
        <f t="shared" si="3"/>
        <v>8101</v>
      </c>
      <c r="J22" s="1">
        <v>8102</v>
      </c>
      <c r="K22" s="474">
        <f t="shared" si="26"/>
        <v>1</v>
      </c>
      <c r="L22" s="96">
        <f t="shared" si="5"/>
        <v>12907</v>
      </c>
      <c r="M22" s="1">
        <v>12907</v>
      </c>
      <c r="N22" s="474">
        <f t="shared" si="14"/>
        <v>0</v>
      </c>
      <c r="O22" s="96">
        <f t="shared" si="6"/>
        <v>20512</v>
      </c>
      <c r="P22" s="381">
        <v>20514</v>
      </c>
      <c r="Q22" s="474">
        <f t="shared" si="7"/>
        <v>2</v>
      </c>
      <c r="R22" s="251"/>
      <c r="S22" s="246">
        <f t="shared" si="15"/>
        <v>61297</v>
      </c>
      <c r="T22" s="382">
        <v>61297</v>
      </c>
      <c r="U22" s="475">
        <f t="shared" si="16"/>
        <v>0</v>
      </c>
      <c r="V22" s="246">
        <f t="shared" si="30"/>
        <v>73031</v>
      </c>
      <c r="W22" s="382">
        <v>73031</v>
      </c>
      <c r="X22" s="475">
        <f t="shared" si="17"/>
        <v>0</v>
      </c>
      <c r="Y22" s="246">
        <f t="shared" si="9"/>
        <v>85786</v>
      </c>
      <c r="Z22" s="382">
        <v>85797</v>
      </c>
      <c r="AA22" s="475">
        <f t="shared" si="18"/>
        <v>11</v>
      </c>
      <c r="AB22" s="608">
        <f t="shared" si="22"/>
        <v>16530</v>
      </c>
      <c r="AC22" s="612">
        <v>16549</v>
      </c>
      <c r="AD22" s="611">
        <f t="shared" si="23"/>
        <v>19</v>
      </c>
      <c r="AE22" s="246">
        <f t="shared" si="10"/>
        <v>18300</v>
      </c>
      <c r="AF22" s="383">
        <v>18300</v>
      </c>
      <c r="AG22" s="475">
        <f t="shared" si="19"/>
        <v>0</v>
      </c>
      <c r="AH22" s="246">
        <f t="shared" si="11"/>
        <v>26945</v>
      </c>
      <c r="AI22" s="383">
        <v>26968</v>
      </c>
      <c r="AJ22" s="475">
        <f t="shared" si="20"/>
        <v>23</v>
      </c>
      <c r="AK22" s="316">
        <f t="shared" si="12"/>
        <v>0</v>
      </c>
      <c r="AL22" s="382"/>
      <c r="AM22" s="475">
        <f t="shared" si="29"/>
        <v>0</v>
      </c>
      <c r="AN22" s="387">
        <f t="shared" si="24"/>
        <v>53</v>
      </c>
    </row>
    <row r="23" spans="1:40" ht="23.1" customHeight="1" x14ac:dyDescent="0.3">
      <c r="A23" s="58">
        <f>Gen!B28</f>
        <v>44153</v>
      </c>
      <c r="B23" s="4"/>
      <c r="C23" s="96">
        <f t="shared" si="0"/>
        <v>244236</v>
      </c>
      <c r="D23" s="1">
        <v>244287</v>
      </c>
      <c r="E23" s="474">
        <f t="shared" si="28"/>
        <v>51</v>
      </c>
      <c r="F23" s="96">
        <f t="shared" si="2"/>
        <v>38000</v>
      </c>
      <c r="G23" s="385">
        <v>38000</v>
      </c>
      <c r="H23" s="474">
        <f t="shared" si="13"/>
        <v>0</v>
      </c>
      <c r="I23" s="96">
        <f t="shared" si="3"/>
        <v>8102</v>
      </c>
      <c r="J23" s="1">
        <v>8103</v>
      </c>
      <c r="K23" s="474">
        <f t="shared" si="26"/>
        <v>1</v>
      </c>
      <c r="L23" s="96">
        <f t="shared" si="5"/>
        <v>12907</v>
      </c>
      <c r="M23" s="1">
        <v>12907</v>
      </c>
      <c r="N23" s="474">
        <f t="shared" si="14"/>
        <v>0</v>
      </c>
      <c r="O23" s="96">
        <f t="shared" si="6"/>
        <v>20514</v>
      </c>
      <c r="P23" s="381">
        <v>20517</v>
      </c>
      <c r="Q23" s="474">
        <f t="shared" si="7"/>
        <v>3</v>
      </c>
      <c r="R23" s="251"/>
      <c r="S23" s="246">
        <f t="shared" si="15"/>
        <v>61297</v>
      </c>
      <c r="T23" s="382">
        <v>61297</v>
      </c>
      <c r="U23" s="475">
        <f t="shared" si="16"/>
        <v>0</v>
      </c>
      <c r="V23" s="246">
        <f t="shared" si="30"/>
        <v>73031</v>
      </c>
      <c r="W23" s="382">
        <v>73031</v>
      </c>
      <c r="X23" s="475">
        <f>IF((W24-W22)&lt;0,"0",(W24-W22))</f>
        <v>0</v>
      </c>
      <c r="Y23" s="246">
        <f t="shared" si="9"/>
        <v>85797</v>
      </c>
      <c r="Z23" s="382">
        <v>85835</v>
      </c>
      <c r="AA23" s="475">
        <f t="shared" si="18"/>
        <v>38</v>
      </c>
      <c r="AB23" s="608">
        <f t="shared" si="22"/>
        <v>16549</v>
      </c>
      <c r="AC23" s="609">
        <v>16566</v>
      </c>
      <c r="AD23" s="611">
        <f t="shared" si="23"/>
        <v>17</v>
      </c>
      <c r="AE23" s="246">
        <f t="shared" si="10"/>
        <v>18300</v>
      </c>
      <c r="AF23" s="383">
        <v>18300</v>
      </c>
      <c r="AG23" s="475">
        <f t="shared" si="19"/>
        <v>0</v>
      </c>
      <c r="AH23" s="246">
        <f t="shared" si="11"/>
        <v>26968</v>
      </c>
      <c r="AI23" s="383">
        <v>26992</v>
      </c>
      <c r="AJ23" s="475">
        <f t="shared" si="20"/>
        <v>24</v>
      </c>
      <c r="AK23" s="316">
        <f t="shared" si="12"/>
        <v>0</v>
      </c>
      <c r="AL23" s="382"/>
      <c r="AM23" s="475">
        <f t="shared" si="29"/>
        <v>0</v>
      </c>
      <c r="AN23" s="387">
        <f t="shared" si="24"/>
        <v>79</v>
      </c>
    </row>
    <row r="24" spans="1:40" ht="23.1" customHeight="1" x14ac:dyDescent="0.3">
      <c r="A24" s="58">
        <f>Gen!B29</f>
        <v>44154</v>
      </c>
      <c r="B24" s="4"/>
      <c r="C24" s="96">
        <f t="shared" si="0"/>
        <v>244287</v>
      </c>
      <c r="D24" s="1">
        <v>244414</v>
      </c>
      <c r="E24" s="474">
        <f t="shared" si="28"/>
        <v>127</v>
      </c>
      <c r="F24" s="96">
        <f t="shared" si="2"/>
        <v>38000</v>
      </c>
      <c r="G24" s="385">
        <v>38000</v>
      </c>
      <c r="H24" s="474">
        <f t="shared" si="13"/>
        <v>0</v>
      </c>
      <c r="I24" s="96">
        <f t="shared" si="3"/>
        <v>8103</v>
      </c>
      <c r="J24" s="1">
        <v>8105</v>
      </c>
      <c r="K24" s="474">
        <f t="shared" si="26"/>
        <v>2</v>
      </c>
      <c r="L24" s="96">
        <f t="shared" si="5"/>
        <v>12907</v>
      </c>
      <c r="M24" s="1">
        <v>12907</v>
      </c>
      <c r="N24" s="474">
        <f t="shared" si="14"/>
        <v>0</v>
      </c>
      <c r="O24" s="96">
        <f t="shared" si="6"/>
        <v>20517</v>
      </c>
      <c r="P24" s="381">
        <v>20522</v>
      </c>
      <c r="Q24" s="474">
        <f t="shared" si="7"/>
        <v>5</v>
      </c>
      <c r="R24" s="251"/>
      <c r="S24" s="246">
        <f t="shared" si="15"/>
        <v>61297</v>
      </c>
      <c r="T24" s="382">
        <v>61352</v>
      </c>
      <c r="U24" s="475">
        <f t="shared" si="16"/>
        <v>55</v>
      </c>
      <c r="V24" s="246">
        <f>W24</f>
        <v>73031</v>
      </c>
      <c r="W24" s="382">
        <v>73031</v>
      </c>
      <c r="X24" s="475">
        <f t="shared" ref="X24:X28" si="31">IF((W25-W23)&lt;0,"0",(W25-W23))</f>
        <v>0</v>
      </c>
      <c r="Y24" s="246">
        <f t="shared" si="9"/>
        <v>85835</v>
      </c>
      <c r="Z24" s="382">
        <v>85900</v>
      </c>
      <c r="AA24" s="475">
        <f t="shared" si="18"/>
        <v>65</v>
      </c>
      <c r="AB24" s="608">
        <f t="shared" si="22"/>
        <v>16566</v>
      </c>
      <c r="AC24" s="609">
        <v>16583</v>
      </c>
      <c r="AD24" s="611">
        <f t="shared" si="23"/>
        <v>17</v>
      </c>
      <c r="AE24" s="246">
        <f t="shared" si="10"/>
        <v>18300</v>
      </c>
      <c r="AF24" s="383">
        <v>18300</v>
      </c>
      <c r="AG24" s="475">
        <f t="shared" si="19"/>
        <v>0</v>
      </c>
      <c r="AH24" s="246">
        <f t="shared" si="11"/>
        <v>26992</v>
      </c>
      <c r="AI24" s="383">
        <v>27016</v>
      </c>
      <c r="AJ24" s="475">
        <f t="shared" si="20"/>
        <v>24</v>
      </c>
      <c r="AK24" s="316">
        <f t="shared" si="12"/>
        <v>0</v>
      </c>
      <c r="AL24" s="382"/>
      <c r="AM24" s="475">
        <f t="shared" si="29"/>
        <v>0</v>
      </c>
      <c r="AN24" s="387">
        <f t="shared" si="24"/>
        <v>161</v>
      </c>
    </row>
    <row r="25" spans="1:40" ht="23.1" customHeight="1" x14ac:dyDescent="0.3">
      <c r="A25" s="58">
        <f>Gen!B30</f>
        <v>44155</v>
      </c>
      <c r="B25" s="4"/>
      <c r="C25" s="96">
        <f>D24</f>
        <v>244414</v>
      </c>
      <c r="D25" s="1">
        <v>244460</v>
      </c>
      <c r="E25" s="474">
        <f t="shared" si="28"/>
        <v>46</v>
      </c>
      <c r="F25" s="96">
        <f t="shared" si="2"/>
        <v>38000</v>
      </c>
      <c r="G25" s="385">
        <v>38000</v>
      </c>
      <c r="H25" s="474">
        <f>IF((G26-G24)&lt;0,"0",(G26-G24))</f>
        <v>0</v>
      </c>
      <c r="I25" s="96">
        <f t="shared" ref="I25:I37" si="32">J24</f>
        <v>8105</v>
      </c>
      <c r="J25" s="1">
        <v>8106</v>
      </c>
      <c r="K25" s="474">
        <f t="shared" si="26"/>
        <v>1</v>
      </c>
      <c r="L25" s="96">
        <f t="shared" ref="L25:L37" si="33">M24</f>
        <v>12907</v>
      </c>
      <c r="M25" s="1">
        <v>12907</v>
      </c>
      <c r="N25" s="474">
        <f t="shared" ref="N25:N37" si="34">IF((M25-M24)&lt;0,"0",(M25-M24))</f>
        <v>0</v>
      </c>
      <c r="O25" s="96">
        <f t="shared" si="6"/>
        <v>20522</v>
      </c>
      <c r="P25" s="381">
        <v>20523</v>
      </c>
      <c r="Q25" s="474">
        <f t="shared" si="7"/>
        <v>1</v>
      </c>
      <c r="R25" s="251"/>
      <c r="S25" s="246">
        <f t="shared" ref="S25:S37" si="35">T24</f>
        <v>61352</v>
      </c>
      <c r="T25" s="382">
        <v>61438</v>
      </c>
      <c r="U25" s="475">
        <f t="shared" ref="U25:U37" si="36">IF((T25-T24)&lt;0,"0",(T25-T24))</f>
        <v>86</v>
      </c>
      <c r="V25" s="246" t="e">
        <f>#REF!</f>
        <v>#REF!</v>
      </c>
      <c r="W25" s="382">
        <v>73031</v>
      </c>
      <c r="X25" s="475">
        <f t="shared" si="31"/>
        <v>0</v>
      </c>
      <c r="Y25" s="246">
        <f t="shared" si="9"/>
        <v>85900</v>
      </c>
      <c r="Z25" s="382">
        <v>85949</v>
      </c>
      <c r="AA25" s="475">
        <f t="shared" si="18"/>
        <v>49</v>
      </c>
      <c r="AB25" s="608">
        <f t="shared" si="22"/>
        <v>16583</v>
      </c>
      <c r="AC25" s="609">
        <v>16600</v>
      </c>
      <c r="AD25" s="611">
        <f t="shared" si="23"/>
        <v>17</v>
      </c>
      <c r="AE25" s="246">
        <f t="shared" si="10"/>
        <v>18300</v>
      </c>
      <c r="AF25" s="383">
        <v>18300</v>
      </c>
      <c r="AG25" s="475">
        <f t="shared" si="19"/>
        <v>0</v>
      </c>
      <c r="AH25" s="246">
        <f t="shared" si="11"/>
        <v>27016</v>
      </c>
      <c r="AI25" s="383">
        <v>27041</v>
      </c>
      <c r="AJ25" s="475">
        <f t="shared" si="20"/>
        <v>25</v>
      </c>
      <c r="AK25" s="316">
        <f t="shared" si="12"/>
        <v>0</v>
      </c>
      <c r="AL25" s="382"/>
      <c r="AM25" s="475">
        <f t="shared" si="29"/>
        <v>0</v>
      </c>
      <c r="AN25" s="387">
        <f t="shared" si="24"/>
        <v>177</v>
      </c>
    </row>
    <row r="26" spans="1:40" ht="23.1" customHeight="1" x14ac:dyDescent="0.3">
      <c r="A26" s="58">
        <f>Gen!B31</f>
        <v>44156</v>
      </c>
      <c r="B26" s="4"/>
      <c r="C26" s="96">
        <f>D25</f>
        <v>244460</v>
      </c>
      <c r="D26" s="1">
        <v>244507</v>
      </c>
      <c r="E26" s="474">
        <f t="shared" si="28"/>
        <v>47</v>
      </c>
      <c r="F26" s="96">
        <f>G26</f>
        <v>38000</v>
      </c>
      <c r="G26" s="385">
        <v>38000</v>
      </c>
      <c r="H26" s="474">
        <f t="shared" ref="H26:H27" si="37">IF((G27-G25)&lt;0,"0",(G27-G25))</f>
        <v>0</v>
      </c>
      <c r="I26" s="96">
        <f t="shared" si="32"/>
        <v>8106</v>
      </c>
      <c r="J26" s="1">
        <v>8107</v>
      </c>
      <c r="K26" s="474">
        <f t="shared" si="26"/>
        <v>1</v>
      </c>
      <c r="L26" s="96">
        <f t="shared" si="33"/>
        <v>12907</v>
      </c>
      <c r="M26" s="1">
        <v>12907</v>
      </c>
      <c r="N26" s="474">
        <f t="shared" si="34"/>
        <v>0</v>
      </c>
      <c r="O26" s="96">
        <f t="shared" ref="O26:O37" si="38">P25</f>
        <v>20523</v>
      </c>
      <c r="P26" s="381">
        <v>20527</v>
      </c>
      <c r="Q26" s="474">
        <f t="shared" si="7"/>
        <v>4</v>
      </c>
      <c r="R26" s="251"/>
      <c r="S26" s="246">
        <f t="shared" si="35"/>
        <v>61438</v>
      </c>
      <c r="T26" s="382">
        <v>61515</v>
      </c>
      <c r="U26" s="475">
        <f t="shared" si="36"/>
        <v>77</v>
      </c>
      <c r="V26" s="246">
        <f t="shared" si="30"/>
        <v>73031</v>
      </c>
      <c r="W26" s="382">
        <v>73031</v>
      </c>
      <c r="X26" s="475">
        <f t="shared" si="31"/>
        <v>0</v>
      </c>
      <c r="Y26" s="246">
        <f t="shared" si="9"/>
        <v>85949</v>
      </c>
      <c r="Z26" s="382">
        <v>85999</v>
      </c>
      <c r="AA26" s="475">
        <f t="shared" si="18"/>
        <v>50</v>
      </c>
      <c r="AB26" s="608">
        <f t="shared" si="22"/>
        <v>16600</v>
      </c>
      <c r="AC26" s="609">
        <v>16618</v>
      </c>
      <c r="AD26" s="611">
        <f t="shared" si="23"/>
        <v>18</v>
      </c>
      <c r="AE26" s="246">
        <f t="shared" si="10"/>
        <v>18300</v>
      </c>
      <c r="AF26" s="383">
        <v>18300</v>
      </c>
      <c r="AG26" s="475">
        <f t="shared" si="19"/>
        <v>0</v>
      </c>
      <c r="AH26" s="246">
        <f t="shared" si="11"/>
        <v>27041</v>
      </c>
      <c r="AI26" s="383">
        <v>27065</v>
      </c>
      <c r="AJ26" s="475">
        <f t="shared" si="20"/>
        <v>24</v>
      </c>
      <c r="AK26" s="316">
        <f t="shared" si="12"/>
        <v>0</v>
      </c>
      <c r="AL26" s="382"/>
      <c r="AM26" s="475">
        <f t="shared" si="29"/>
        <v>0</v>
      </c>
      <c r="AN26" s="387">
        <f t="shared" si="24"/>
        <v>169</v>
      </c>
    </row>
    <row r="27" spans="1:40" ht="23.1" customHeight="1" x14ac:dyDescent="0.3">
      <c r="A27" s="58">
        <f>Gen!B32</f>
        <v>44157</v>
      </c>
      <c r="B27" s="4"/>
      <c r="C27" s="96">
        <f>D26</f>
        <v>244507</v>
      </c>
      <c r="D27" s="1">
        <v>244558</v>
      </c>
      <c r="E27" s="474">
        <f t="shared" si="28"/>
        <v>51</v>
      </c>
      <c r="F27" s="96">
        <f t="shared" ref="F27:F31" si="39">G27</f>
        <v>38000</v>
      </c>
      <c r="G27" s="385">
        <v>38000</v>
      </c>
      <c r="H27" s="474">
        <f t="shared" si="37"/>
        <v>0</v>
      </c>
      <c r="I27" s="96">
        <f t="shared" si="32"/>
        <v>8107</v>
      </c>
      <c r="J27" s="1">
        <v>8108</v>
      </c>
      <c r="K27" s="474">
        <f t="shared" si="26"/>
        <v>1</v>
      </c>
      <c r="L27" s="96">
        <f t="shared" si="33"/>
        <v>12907</v>
      </c>
      <c r="M27" s="1">
        <v>12907</v>
      </c>
      <c r="N27" s="474">
        <f t="shared" si="34"/>
        <v>0</v>
      </c>
      <c r="O27" s="96">
        <f t="shared" si="38"/>
        <v>20527</v>
      </c>
      <c r="P27" s="381">
        <v>20533</v>
      </c>
      <c r="Q27" s="474">
        <f t="shared" si="7"/>
        <v>6</v>
      </c>
      <c r="R27" s="251"/>
      <c r="S27" s="246">
        <f t="shared" si="35"/>
        <v>61515</v>
      </c>
      <c r="T27" s="382">
        <v>61604</v>
      </c>
      <c r="U27" s="475">
        <f t="shared" si="36"/>
        <v>89</v>
      </c>
      <c r="V27" s="246">
        <f t="shared" si="30"/>
        <v>73031</v>
      </c>
      <c r="W27" s="382">
        <v>73031</v>
      </c>
      <c r="X27" s="475">
        <f t="shared" si="31"/>
        <v>0</v>
      </c>
      <c r="Y27" s="246">
        <f t="shared" si="9"/>
        <v>85999</v>
      </c>
      <c r="Z27" s="382">
        <v>86067</v>
      </c>
      <c r="AA27" s="475">
        <f t="shared" si="18"/>
        <v>68</v>
      </c>
      <c r="AB27" s="608">
        <f t="shared" si="22"/>
        <v>16618</v>
      </c>
      <c r="AC27" s="609">
        <v>16637</v>
      </c>
      <c r="AD27" s="611">
        <f t="shared" si="23"/>
        <v>19</v>
      </c>
      <c r="AE27" s="246">
        <f t="shared" si="10"/>
        <v>18300</v>
      </c>
      <c r="AF27" s="383">
        <v>18300</v>
      </c>
      <c r="AG27" s="475">
        <f t="shared" si="19"/>
        <v>0</v>
      </c>
      <c r="AH27" s="246">
        <f t="shared" si="11"/>
        <v>27065</v>
      </c>
      <c r="AI27" s="383">
        <v>27085</v>
      </c>
      <c r="AJ27" s="475">
        <f t="shared" si="20"/>
        <v>20</v>
      </c>
      <c r="AK27" s="316">
        <f t="shared" si="12"/>
        <v>0</v>
      </c>
      <c r="AL27" s="382"/>
      <c r="AM27" s="475">
        <f t="shared" si="21"/>
        <v>0</v>
      </c>
      <c r="AN27" s="387">
        <f t="shared" si="24"/>
        <v>196</v>
      </c>
    </row>
    <row r="28" spans="1:40" ht="23.1" customHeight="1" x14ac:dyDescent="0.3">
      <c r="A28" s="58">
        <f>Gen!B33</f>
        <v>44158</v>
      </c>
      <c r="B28" s="4"/>
      <c r="C28" s="96">
        <f t="shared" ref="C28:C37" si="40">D27</f>
        <v>244558</v>
      </c>
      <c r="D28" s="1">
        <v>244619</v>
      </c>
      <c r="E28" s="474">
        <f t="shared" si="28"/>
        <v>61</v>
      </c>
      <c r="F28" s="96">
        <f t="shared" si="39"/>
        <v>38000</v>
      </c>
      <c r="G28" s="385">
        <v>38000</v>
      </c>
      <c r="H28" s="474">
        <f t="shared" ref="H28:H37" si="41">IF((G28-G27)&lt;0,"0",(G28-G27))</f>
        <v>0</v>
      </c>
      <c r="I28" s="96">
        <f t="shared" si="32"/>
        <v>8108</v>
      </c>
      <c r="J28" s="1">
        <v>8109</v>
      </c>
      <c r="K28" s="474">
        <f>IF((J28-J27)&lt;0,"0",(J28-J27))</f>
        <v>1</v>
      </c>
      <c r="L28" s="96">
        <f t="shared" si="33"/>
        <v>12907</v>
      </c>
      <c r="M28" s="1">
        <v>12907</v>
      </c>
      <c r="N28" s="474">
        <f t="shared" si="34"/>
        <v>0</v>
      </c>
      <c r="O28" s="96">
        <f t="shared" si="38"/>
        <v>20533</v>
      </c>
      <c r="P28" s="381">
        <v>20537</v>
      </c>
      <c r="Q28" s="474">
        <f t="shared" ref="Q28:Q37" si="42">IF((P28-P27)&lt;0,"0",(P28-P27))</f>
        <v>4</v>
      </c>
      <c r="R28" s="251"/>
      <c r="S28" s="246">
        <f t="shared" si="35"/>
        <v>61604</v>
      </c>
      <c r="T28" s="382">
        <v>61628</v>
      </c>
      <c r="U28" s="475">
        <f t="shared" si="36"/>
        <v>24</v>
      </c>
      <c r="V28" s="246">
        <f t="shared" si="30"/>
        <v>73031</v>
      </c>
      <c r="W28" s="382">
        <v>73031</v>
      </c>
      <c r="X28" s="475">
        <f t="shared" si="31"/>
        <v>0</v>
      </c>
      <c r="Y28" s="246">
        <f t="shared" si="9"/>
        <v>86067</v>
      </c>
      <c r="Z28" s="382">
        <v>86122</v>
      </c>
      <c r="AA28" s="475">
        <f t="shared" si="18"/>
        <v>55</v>
      </c>
      <c r="AB28" s="608">
        <f t="shared" si="22"/>
        <v>16637</v>
      </c>
      <c r="AC28" s="609">
        <v>16655</v>
      </c>
      <c r="AD28" s="611">
        <f t="shared" si="23"/>
        <v>18</v>
      </c>
      <c r="AE28" s="246">
        <f t="shared" si="10"/>
        <v>18300</v>
      </c>
      <c r="AF28" s="383">
        <v>18300</v>
      </c>
      <c r="AG28" s="475">
        <f t="shared" si="19"/>
        <v>0</v>
      </c>
      <c r="AH28" s="246">
        <f t="shared" si="11"/>
        <v>27085</v>
      </c>
      <c r="AI28" s="383">
        <v>27108</v>
      </c>
      <c r="AJ28" s="475">
        <f t="shared" si="20"/>
        <v>23</v>
      </c>
      <c r="AK28" s="316">
        <f t="shared" si="12"/>
        <v>0</v>
      </c>
      <c r="AL28" s="382"/>
      <c r="AM28" s="475">
        <f t="shared" si="21"/>
        <v>0</v>
      </c>
      <c r="AN28" s="387">
        <f t="shared" si="24"/>
        <v>120</v>
      </c>
    </row>
    <row r="29" spans="1:40" ht="23.1" customHeight="1" x14ac:dyDescent="0.3">
      <c r="A29" s="58">
        <f>Gen!B34</f>
        <v>44159</v>
      </c>
      <c r="B29" s="4"/>
      <c r="C29" s="96">
        <f t="shared" si="40"/>
        <v>244619</v>
      </c>
      <c r="D29" s="1">
        <v>244668</v>
      </c>
      <c r="E29" s="474">
        <f t="shared" si="28"/>
        <v>49</v>
      </c>
      <c r="F29" s="96">
        <f t="shared" si="39"/>
        <v>38000</v>
      </c>
      <c r="G29" s="385">
        <v>38000</v>
      </c>
      <c r="H29" s="474">
        <f t="shared" si="41"/>
        <v>0</v>
      </c>
      <c r="I29" s="96">
        <f t="shared" si="32"/>
        <v>8109</v>
      </c>
      <c r="J29" s="1">
        <v>8110</v>
      </c>
      <c r="K29" s="474">
        <f t="shared" ref="K29:K37" si="43">IF((J29-J28)&lt;0,"0",(J29-J28))</f>
        <v>1</v>
      </c>
      <c r="L29" s="96">
        <f t="shared" si="33"/>
        <v>12907</v>
      </c>
      <c r="M29" s="1">
        <v>12907</v>
      </c>
      <c r="N29" s="474">
        <f t="shared" si="34"/>
        <v>0</v>
      </c>
      <c r="O29" s="96">
        <f t="shared" si="38"/>
        <v>20537</v>
      </c>
      <c r="P29" s="381">
        <v>20541</v>
      </c>
      <c r="Q29" s="474">
        <f t="shared" si="42"/>
        <v>4</v>
      </c>
      <c r="R29" s="251"/>
      <c r="S29" s="246">
        <f t="shared" si="35"/>
        <v>61628</v>
      </c>
      <c r="T29" s="382">
        <v>61628</v>
      </c>
      <c r="U29" s="475">
        <f t="shared" si="36"/>
        <v>0</v>
      </c>
      <c r="V29" s="246">
        <f t="shared" si="30"/>
        <v>73031</v>
      </c>
      <c r="W29" s="382">
        <v>73031</v>
      </c>
      <c r="X29" s="475">
        <f t="shared" si="17"/>
        <v>0</v>
      </c>
      <c r="Y29" s="246">
        <f t="shared" si="9"/>
        <v>86122</v>
      </c>
      <c r="Z29" s="382">
        <v>86177</v>
      </c>
      <c r="AA29" s="475">
        <f t="shared" si="18"/>
        <v>55</v>
      </c>
      <c r="AB29" s="608">
        <f t="shared" si="22"/>
        <v>16655</v>
      </c>
      <c r="AC29" s="609">
        <v>16674</v>
      </c>
      <c r="AD29" s="611">
        <f t="shared" si="23"/>
        <v>19</v>
      </c>
      <c r="AE29" s="246">
        <f t="shared" si="10"/>
        <v>18300</v>
      </c>
      <c r="AF29" s="383">
        <v>18300</v>
      </c>
      <c r="AG29" s="475">
        <f t="shared" si="19"/>
        <v>0</v>
      </c>
      <c r="AH29" s="246">
        <f t="shared" si="11"/>
        <v>27108</v>
      </c>
      <c r="AI29" s="383">
        <v>27132</v>
      </c>
      <c r="AJ29" s="475">
        <f t="shared" si="20"/>
        <v>24</v>
      </c>
      <c r="AK29" s="316">
        <f t="shared" si="12"/>
        <v>0</v>
      </c>
      <c r="AL29" s="382"/>
      <c r="AM29" s="475">
        <f t="shared" si="21"/>
        <v>0</v>
      </c>
      <c r="AN29" s="387">
        <f t="shared" si="24"/>
        <v>98</v>
      </c>
    </row>
    <row r="30" spans="1:40" ht="23.1" customHeight="1" x14ac:dyDescent="0.3">
      <c r="A30" s="58">
        <f>Gen!B35</f>
        <v>44160</v>
      </c>
      <c r="B30" s="4"/>
      <c r="C30" s="96">
        <f t="shared" si="40"/>
        <v>244668</v>
      </c>
      <c r="D30" s="1">
        <v>244718</v>
      </c>
      <c r="E30" s="474">
        <f t="shared" si="28"/>
        <v>50</v>
      </c>
      <c r="F30" s="96">
        <f t="shared" si="39"/>
        <v>38000</v>
      </c>
      <c r="G30" s="385">
        <v>38000</v>
      </c>
      <c r="H30" s="474">
        <f t="shared" si="41"/>
        <v>0</v>
      </c>
      <c r="I30" s="96">
        <f t="shared" si="32"/>
        <v>8110</v>
      </c>
      <c r="J30" s="1">
        <v>8111</v>
      </c>
      <c r="K30" s="474">
        <f t="shared" si="43"/>
        <v>1</v>
      </c>
      <c r="L30" s="96">
        <f t="shared" si="33"/>
        <v>12907</v>
      </c>
      <c r="M30" s="1">
        <v>12907</v>
      </c>
      <c r="N30" s="474">
        <f t="shared" si="34"/>
        <v>0</v>
      </c>
      <c r="O30" s="96">
        <f t="shared" si="38"/>
        <v>20541</v>
      </c>
      <c r="P30" s="381">
        <v>20544</v>
      </c>
      <c r="Q30" s="474">
        <f t="shared" si="42"/>
        <v>3</v>
      </c>
      <c r="R30" s="251"/>
      <c r="S30" s="246">
        <f t="shared" si="35"/>
        <v>61628</v>
      </c>
      <c r="T30" s="382">
        <v>61697</v>
      </c>
      <c r="U30" s="475">
        <f t="shared" si="36"/>
        <v>69</v>
      </c>
      <c r="V30" s="246">
        <f t="shared" si="30"/>
        <v>73031</v>
      </c>
      <c r="W30" s="382">
        <v>73031</v>
      </c>
      <c r="X30" s="475">
        <f t="shared" si="17"/>
        <v>0</v>
      </c>
      <c r="Y30" s="246">
        <f t="shared" si="9"/>
        <v>86177</v>
      </c>
      <c r="Z30" s="382">
        <v>86233</v>
      </c>
      <c r="AA30" s="475">
        <f t="shared" si="18"/>
        <v>56</v>
      </c>
      <c r="AB30" s="608">
        <f t="shared" si="22"/>
        <v>16674</v>
      </c>
      <c r="AC30" s="609">
        <v>16691</v>
      </c>
      <c r="AD30" s="611">
        <f t="shared" si="23"/>
        <v>17</v>
      </c>
      <c r="AE30" s="246">
        <f t="shared" si="10"/>
        <v>18300</v>
      </c>
      <c r="AF30" s="383">
        <v>18300</v>
      </c>
      <c r="AG30" s="475">
        <f t="shared" si="19"/>
        <v>0</v>
      </c>
      <c r="AH30" s="246">
        <f t="shared" si="11"/>
        <v>27132</v>
      </c>
      <c r="AI30" s="383">
        <v>27154</v>
      </c>
      <c r="AJ30" s="475">
        <f t="shared" si="20"/>
        <v>22</v>
      </c>
      <c r="AK30" s="316">
        <f t="shared" si="12"/>
        <v>0</v>
      </c>
      <c r="AL30" s="382"/>
      <c r="AM30" s="475">
        <f t="shared" si="21"/>
        <v>0</v>
      </c>
      <c r="AN30" s="387">
        <f t="shared" si="24"/>
        <v>164</v>
      </c>
    </row>
    <row r="31" spans="1:40" ht="23.1" customHeight="1" x14ac:dyDescent="0.3">
      <c r="A31" s="58">
        <f>Gen!B36</f>
        <v>44161</v>
      </c>
      <c r="B31" s="4"/>
      <c r="C31" s="96">
        <f t="shared" si="40"/>
        <v>244718</v>
      </c>
      <c r="D31" s="1">
        <v>244774</v>
      </c>
      <c r="E31" s="474">
        <f t="shared" si="28"/>
        <v>56</v>
      </c>
      <c r="F31" s="96">
        <f t="shared" si="39"/>
        <v>38000</v>
      </c>
      <c r="G31" s="385">
        <v>38000</v>
      </c>
      <c r="H31" s="474">
        <f t="shared" si="41"/>
        <v>0</v>
      </c>
      <c r="I31" s="96">
        <f t="shared" si="32"/>
        <v>8111</v>
      </c>
      <c r="J31" s="1">
        <v>8112</v>
      </c>
      <c r="K31" s="474">
        <f t="shared" si="43"/>
        <v>1</v>
      </c>
      <c r="L31" s="96">
        <f t="shared" si="33"/>
        <v>12907</v>
      </c>
      <c r="M31" s="1">
        <v>12907</v>
      </c>
      <c r="N31" s="474">
        <f t="shared" si="34"/>
        <v>0</v>
      </c>
      <c r="O31" s="96">
        <f t="shared" si="38"/>
        <v>20544</v>
      </c>
      <c r="P31" s="381">
        <v>20546</v>
      </c>
      <c r="Q31" s="474">
        <f t="shared" si="42"/>
        <v>2</v>
      </c>
      <c r="R31" s="251"/>
      <c r="S31" s="246">
        <f t="shared" si="35"/>
        <v>61697</v>
      </c>
      <c r="T31" s="382">
        <v>61780</v>
      </c>
      <c r="U31" s="475">
        <f t="shared" si="36"/>
        <v>83</v>
      </c>
      <c r="V31" s="246">
        <f t="shared" si="30"/>
        <v>73031</v>
      </c>
      <c r="W31" s="382">
        <v>73031</v>
      </c>
      <c r="X31" s="475">
        <f t="shared" si="17"/>
        <v>0</v>
      </c>
      <c r="Y31" s="246">
        <f t="shared" si="9"/>
        <v>86233</v>
      </c>
      <c r="Z31" s="382">
        <v>86288</v>
      </c>
      <c r="AA31" s="475">
        <f t="shared" si="18"/>
        <v>55</v>
      </c>
      <c r="AB31" s="608">
        <f t="shared" si="22"/>
        <v>16691</v>
      </c>
      <c r="AC31" s="609">
        <v>16709</v>
      </c>
      <c r="AD31" s="611">
        <f t="shared" si="23"/>
        <v>18</v>
      </c>
      <c r="AE31" s="246">
        <f t="shared" si="10"/>
        <v>18300</v>
      </c>
      <c r="AF31" s="383">
        <v>18300</v>
      </c>
      <c r="AG31" s="475">
        <f t="shared" si="19"/>
        <v>0</v>
      </c>
      <c r="AH31" s="246">
        <f t="shared" si="11"/>
        <v>27154</v>
      </c>
      <c r="AI31" s="383">
        <v>27177</v>
      </c>
      <c r="AJ31" s="475">
        <f t="shared" si="20"/>
        <v>23</v>
      </c>
      <c r="AK31" s="316">
        <f t="shared" si="12"/>
        <v>0</v>
      </c>
      <c r="AL31" s="382"/>
      <c r="AM31" s="475">
        <f t="shared" si="21"/>
        <v>0</v>
      </c>
      <c r="AN31" s="387">
        <f t="shared" si="24"/>
        <v>179</v>
      </c>
    </row>
    <row r="32" spans="1:40" ht="23.1" customHeight="1" x14ac:dyDescent="0.3">
      <c r="A32" s="58">
        <f>Gen!B37</f>
        <v>44162</v>
      </c>
      <c r="B32" s="4" t="s">
        <v>27</v>
      </c>
      <c r="C32" s="96">
        <f t="shared" si="40"/>
        <v>244774</v>
      </c>
      <c r="D32" s="1">
        <v>244821</v>
      </c>
      <c r="E32" s="474">
        <f t="shared" si="28"/>
        <v>47</v>
      </c>
      <c r="F32" s="96">
        <f t="shared" si="2"/>
        <v>38000</v>
      </c>
      <c r="G32" s="385">
        <v>38000</v>
      </c>
      <c r="H32" s="474">
        <f t="shared" si="41"/>
        <v>0</v>
      </c>
      <c r="I32" s="96">
        <f t="shared" si="32"/>
        <v>8112</v>
      </c>
      <c r="J32" s="1">
        <v>8113</v>
      </c>
      <c r="K32" s="474">
        <f t="shared" si="43"/>
        <v>1</v>
      </c>
      <c r="L32" s="96">
        <f t="shared" si="33"/>
        <v>12907</v>
      </c>
      <c r="M32" s="1">
        <v>12907</v>
      </c>
      <c r="N32" s="474">
        <f t="shared" si="34"/>
        <v>0</v>
      </c>
      <c r="O32" s="96">
        <f t="shared" si="38"/>
        <v>20546</v>
      </c>
      <c r="P32" s="381">
        <v>20549</v>
      </c>
      <c r="Q32" s="474">
        <f t="shared" si="42"/>
        <v>3</v>
      </c>
      <c r="R32" s="251"/>
      <c r="S32" s="246">
        <f t="shared" si="35"/>
        <v>61780</v>
      </c>
      <c r="T32" s="382">
        <v>61863</v>
      </c>
      <c r="U32" s="475">
        <f t="shared" si="36"/>
        <v>83</v>
      </c>
      <c r="V32" s="246">
        <f t="shared" si="30"/>
        <v>73031</v>
      </c>
      <c r="W32" s="382">
        <v>73031</v>
      </c>
      <c r="X32" s="475">
        <f t="shared" si="17"/>
        <v>0</v>
      </c>
      <c r="Y32" s="246">
        <f t="shared" si="9"/>
        <v>86288</v>
      </c>
      <c r="Z32" s="382">
        <v>86342</v>
      </c>
      <c r="AA32" s="475">
        <f t="shared" si="18"/>
        <v>54</v>
      </c>
      <c r="AB32" s="608">
        <f t="shared" si="22"/>
        <v>16709</v>
      </c>
      <c r="AC32" s="609">
        <v>16727</v>
      </c>
      <c r="AD32" s="611">
        <f t="shared" si="23"/>
        <v>18</v>
      </c>
      <c r="AE32" s="246">
        <f t="shared" si="10"/>
        <v>18300</v>
      </c>
      <c r="AF32" s="383">
        <v>18300</v>
      </c>
      <c r="AG32" s="475">
        <f t="shared" si="19"/>
        <v>0</v>
      </c>
      <c r="AH32" s="246">
        <f t="shared" si="11"/>
        <v>27177</v>
      </c>
      <c r="AI32" s="383">
        <v>27201</v>
      </c>
      <c r="AJ32" s="475">
        <f t="shared" si="20"/>
        <v>24</v>
      </c>
      <c r="AK32" s="316">
        <f t="shared" si="12"/>
        <v>0</v>
      </c>
      <c r="AL32" s="382"/>
      <c r="AM32" s="475">
        <f t="shared" si="21"/>
        <v>0</v>
      </c>
      <c r="AN32" s="387">
        <f t="shared" si="24"/>
        <v>179</v>
      </c>
    </row>
    <row r="33" spans="1:41" ht="23.1" customHeight="1" x14ac:dyDescent="0.3">
      <c r="A33" s="58">
        <f>Gen!B38</f>
        <v>44163</v>
      </c>
      <c r="B33" s="4"/>
      <c r="C33" s="96">
        <f t="shared" si="40"/>
        <v>244821</v>
      </c>
      <c r="D33" s="1">
        <v>244866</v>
      </c>
      <c r="E33" s="474">
        <f t="shared" si="28"/>
        <v>45</v>
      </c>
      <c r="F33" s="96">
        <f t="shared" si="2"/>
        <v>38000</v>
      </c>
      <c r="G33" s="385">
        <v>38000</v>
      </c>
      <c r="H33" s="474">
        <f t="shared" si="41"/>
        <v>0</v>
      </c>
      <c r="I33" s="96">
        <f t="shared" si="32"/>
        <v>8113</v>
      </c>
      <c r="J33" s="1">
        <v>8114</v>
      </c>
      <c r="K33" s="474">
        <f t="shared" si="43"/>
        <v>1</v>
      </c>
      <c r="L33" s="96">
        <f t="shared" si="33"/>
        <v>12907</v>
      </c>
      <c r="M33" s="1">
        <v>12907</v>
      </c>
      <c r="N33" s="474">
        <f t="shared" si="34"/>
        <v>0</v>
      </c>
      <c r="O33" s="96">
        <f t="shared" si="38"/>
        <v>20549</v>
      </c>
      <c r="P33" s="381">
        <v>20552</v>
      </c>
      <c r="Q33" s="474">
        <f t="shared" si="42"/>
        <v>3</v>
      </c>
      <c r="R33" s="251"/>
      <c r="S33" s="246">
        <f t="shared" si="35"/>
        <v>61863</v>
      </c>
      <c r="T33" s="382">
        <v>61904</v>
      </c>
      <c r="U33" s="475">
        <f t="shared" si="36"/>
        <v>41</v>
      </c>
      <c r="V33" s="246">
        <f t="shared" si="30"/>
        <v>73031</v>
      </c>
      <c r="W33" s="382">
        <v>73031</v>
      </c>
      <c r="X33" s="475">
        <f t="shared" si="17"/>
        <v>0</v>
      </c>
      <c r="Y33" s="246">
        <f t="shared" si="9"/>
        <v>86342</v>
      </c>
      <c r="Z33" s="382">
        <v>86396</v>
      </c>
      <c r="AA33" s="475">
        <f t="shared" si="18"/>
        <v>54</v>
      </c>
      <c r="AB33" s="608">
        <f t="shared" si="22"/>
        <v>16727</v>
      </c>
      <c r="AC33" s="247">
        <v>16744</v>
      </c>
      <c r="AD33" s="611">
        <f t="shared" si="23"/>
        <v>17</v>
      </c>
      <c r="AE33" s="246">
        <f t="shared" si="10"/>
        <v>18300</v>
      </c>
      <c r="AF33" s="383">
        <v>18300</v>
      </c>
      <c r="AG33" s="475">
        <f t="shared" si="19"/>
        <v>0</v>
      </c>
      <c r="AH33" s="246">
        <f t="shared" si="11"/>
        <v>27201</v>
      </c>
      <c r="AI33" s="383">
        <v>27224</v>
      </c>
      <c r="AJ33" s="475">
        <f t="shared" si="20"/>
        <v>23</v>
      </c>
      <c r="AK33" s="316">
        <f t="shared" si="12"/>
        <v>0</v>
      </c>
      <c r="AL33" s="382"/>
      <c r="AM33" s="475">
        <f t="shared" si="21"/>
        <v>0</v>
      </c>
      <c r="AN33" s="387">
        <f t="shared" si="24"/>
        <v>135</v>
      </c>
    </row>
    <row r="34" spans="1:41" ht="23.1" customHeight="1" x14ac:dyDescent="0.3">
      <c r="A34" s="58">
        <f>Gen!B39</f>
        <v>44164</v>
      </c>
      <c r="B34" s="149"/>
      <c r="C34" s="96">
        <f t="shared" si="40"/>
        <v>244866</v>
      </c>
      <c r="D34" s="1">
        <v>244928</v>
      </c>
      <c r="E34" s="474">
        <f t="shared" si="28"/>
        <v>62</v>
      </c>
      <c r="F34" s="96">
        <f t="shared" si="2"/>
        <v>38000</v>
      </c>
      <c r="G34" s="385">
        <v>38000</v>
      </c>
      <c r="H34" s="474">
        <f t="shared" si="41"/>
        <v>0</v>
      </c>
      <c r="I34" s="96">
        <f t="shared" si="32"/>
        <v>8114</v>
      </c>
      <c r="J34" s="1">
        <v>8115</v>
      </c>
      <c r="K34" s="474">
        <f t="shared" si="43"/>
        <v>1</v>
      </c>
      <c r="L34" s="96">
        <f t="shared" si="33"/>
        <v>12907</v>
      </c>
      <c r="M34" s="1">
        <v>12907</v>
      </c>
      <c r="N34" s="474">
        <f t="shared" si="34"/>
        <v>0</v>
      </c>
      <c r="O34" s="96">
        <f t="shared" si="38"/>
        <v>20552</v>
      </c>
      <c r="P34" s="381">
        <v>20556</v>
      </c>
      <c r="Q34" s="474">
        <f t="shared" si="42"/>
        <v>4</v>
      </c>
      <c r="R34" s="251"/>
      <c r="S34" s="246">
        <f t="shared" si="35"/>
        <v>61904</v>
      </c>
      <c r="T34" s="382">
        <v>61904</v>
      </c>
      <c r="U34" s="475">
        <f t="shared" si="36"/>
        <v>0</v>
      </c>
      <c r="V34" s="246">
        <f t="shared" si="30"/>
        <v>73031</v>
      </c>
      <c r="W34" s="382">
        <v>73031</v>
      </c>
      <c r="X34" s="475">
        <f t="shared" si="17"/>
        <v>0</v>
      </c>
      <c r="Y34" s="246">
        <f t="shared" si="9"/>
        <v>86396</v>
      </c>
      <c r="Z34" s="382">
        <v>86450</v>
      </c>
      <c r="AA34" s="475">
        <f t="shared" si="18"/>
        <v>54</v>
      </c>
      <c r="AB34" s="608">
        <f t="shared" si="22"/>
        <v>16744</v>
      </c>
      <c r="AC34" s="247">
        <v>16764</v>
      </c>
      <c r="AD34" s="611">
        <f t="shared" si="23"/>
        <v>20</v>
      </c>
      <c r="AE34" s="246">
        <f t="shared" si="10"/>
        <v>18300</v>
      </c>
      <c r="AF34" s="383">
        <v>18300</v>
      </c>
      <c r="AG34" s="475">
        <f t="shared" si="19"/>
        <v>0</v>
      </c>
      <c r="AH34" s="246">
        <f t="shared" si="11"/>
        <v>27224</v>
      </c>
      <c r="AI34" s="383">
        <v>27246</v>
      </c>
      <c r="AJ34" s="475">
        <f t="shared" si="20"/>
        <v>22</v>
      </c>
      <c r="AK34" s="316">
        <f t="shared" si="12"/>
        <v>0</v>
      </c>
      <c r="AL34" s="382"/>
      <c r="AM34" s="475">
        <f t="shared" si="21"/>
        <v>0</v>
      </c>
      <c r="AN34" s="387">
        <f t="shared" si="24"/>
        <v>96</v>
      </c>
    </row>
    <row r="35" spans="1:41" ht="23.1" customHeight="1" x14ac:dyDescent="0.3">
      <c r="A35" s="58">
        <f>Gen!B40</f>
        <v>44165</v>
      </c>
      <c r="B35" s="149"/>
      <c r="C35" s="96">
        <f t="shared" si="40"/>
        <v>244928</v>
      </c>
      <c r="D35" s="1">
        <v>244974</v>
      </c>
      <c r="E35" s="474">
        <f t="shared" si="28"/>
        <v>46</v>
      </c>
      <c r="F35" s="96">
        <f t="shared" si="2"/>
        <v>38000</v>
      </c>
      <c r="G35" s="385">
        <v>38000</v>
      </c>
      <c r="H35" s="474">
        <f t="shared" si="41"/>
        <v>0</v>
      </c>
      <c r="I35" s="96">
        <f t="shared" si="32"/>
        <v>8115</v>
      </c>
      <c r="J35" s="1">
        <v>8116</v>
      </c>
      <c r="K35" s="474">
        <f t="shared" si="43"/>
        <v>1</v>
      </c>
      <c r="L35" s="96">
        <f t="shared" si="33"/>
        <v>12907</v>
      </c>
      <c r="M35" s="1">
        <v>12907</v>
      </c>
      <c r="N35" s="474">
        <f t="shared" si="34"/>
        <v>0</v>
      </c>
      <c r="O35" s="96">
        <f t="shared" si="38"/>
        <v>20556</v>
      </c>
      <c r="P35" s="381">
        <v>20558</v>
      </c>
      <c r="Q35" s="474">
        <f t="shared" si="42"/>
        <v>2</v>
      </c>
      <c r="R35" s="251"/>
      <c r="S35" s="246">
        <f t="shared" si="35"/>
        <v>61904</v>
      </c>
      <c r="T35" s="382">
        <v>61904</v>
      </c>
      <c r="U35" s="475">
        <f t="shared" si="36"/>
        <v>0</v>
      </c>
      <c r="V35" s="246">
        <f t="shared" si="30"/>
        <v>73031</v>
      </c>
      <c r="W35" s="382">
        <v>73031</v>
      </c>
      <c r="X35" s="475">
        <f t="shared" si="17"/>
        <v>0</v>
      </c>
      <c r="Y35" s="246">
        <f t="shared" si="9"/>
        <v>86450</v>
      </c>
      <c r="Z35" s="382">
        <v>86505</v>
      </c>
      <c r="AA35" s="475">
        <f t="shared" si="18"/>
        <v>55</v>
      </c>
      <c r="AB35" s="608">
        <f t="shared" si="22"/>
        <v>16764</v>
      </c>
      <c r="AC35" s="247">
        <v>16783</v>
      </c>
      <c r="AD35" s="611">
        <f t="shared" si="23"/>
        <v>19</v>
      </c>
      <c r="AE35" s="246">
        <f t="shared" si="10"/>
        <v>18300</v>
      </c>
      <c r="AF35" s="383">
        <v>18300</v>
      </c>
      <c r="AG35" s="475">
        <f t="shared" si="19"/>
        <v>0</v>
      </c>
      <c r="AH35" s="246">
        <f t="shared" si="11"/>
        <v>27246</v>
      </c>
      <c r="AI35" s="383">
        <v>27269</v>
      </c>
      <c r="AJ35" s="475">
        <f t="shared" si="20"/>
        <v>23</v>
      </c>
      <c r="AK35" s="316">
        <f t="shared" si="12"/>
        <v>0</v>
      </c>
      <c r="AL35" s="382"/>
      <c r="AM35" s="475">
        <f t="shared" si="21"/>
        <v>0</v>
      </c>
      <c r="AN35" s="387">
        <f t="shared" si="24"/>
        <v>97</v>
      </c>
    </row>
    <row r="36" spans="1:41" ht="23.1" customHeight="1" x14ac:dyDescent="0.3">
      <c r="A36" s="58">
        <f>Gen!B41</f>
        <v>44166</v>
      </c>
      <c r="B36" s="150"/>
      <c r="C36" s="96">
        <f t="shared" si="40"/>
        <v>244974</v>
      </c>
      <c r="D36" s="1"/>
      <c r="E36" s="474" t="str">
        <f t="shared" si="28"/>
        <v>0</v>
      </c>
      <c r="F36" s="96">
        <f t="shared" si="2"/>
        <v>38000</v>
      </c>
      <c r="G36" s="385"/>
      <c r="H36" s="474" t="str">
        <f t="shared" si="41"/>
        <v>0</v>
      </c>
      <c r="I36" s="96">
        <f t="shared" si="32"/>
        <v>8116</v>
      </c>
      <c r="J36" s="1"/>
      <c r="K36" s="474" t="str">
        <f t="shared" si="43"/>
        <v>0</v>
      </c>
      <c r="L36" s="96">
        <f t="shared" si="33"/>
        <v>12907</v>
      </c>
      <c r="M36" s="1"/>
      <c r="N36" s="474" t="str">
        <f t="shared" si="34"/>
        <v>0</v>
      </c>
      <c r="O36" s="96">
        <f t="shared" si="38"/>
        <v>20558</v>
      </c>
      <c r="P36" s="381"/>
      <c r="Q36" s="474" t="str">
        <f t="shared" si="42"/>
        <v>0</v>
      </c>
      <c r="R36" s="251"/>
      <c r="S36" s="246">
        <f t="shared" si="35"/>
        <v>61904</v>
      </c>
      <c r="T36" s="382"/>
      <c r="U36" s="475" t="str">
        <f t="shared" si="36"/>
        <v>0</v>
      </c>
      <c r="V36" s="246">
        <f t="shared" si="30"/>
        <v>73031</v>
      </c>
      <c r="W36" s="382"/>
      <c r="X36" s="475" t="str">
        <f t="shared" si="17"/>
        <v>0</v>
      </c>
      <c r="Y36" s="246">
        <f t="shared" si="9"/>
        <v>86505</v>
      </c>
      <c r="Z36" s="382"/>
      <c r="AA36" s="475" t="str">
        <f t="shared" si="18"/>
        <v>0</v>
      </c>
      <c r="AB36" s="608">
        <f t="shared" si="22"/>
        <v>16783</v>
      </c>
      <c r="AC36" s="247"/>
      <c r="AD36" s="611" t="str">
        <f t="shared" si="23"/>
        <v>0</v>
      </c>
      <c r="AE36" s="246">
        <f t="shared" si="10"/>
        <v>18300</v>
      </c>
      <c r="AF36" s="383"/>
      <c r="AG36" s="475" t="str">
        <f t="shared" si="19"/>
        <v>0</v>
      </c>
      <c r="AH36" s="246">
        <f t="shared" si="11"/>
        <v>27269</v>
      </c>
      <c r="AI36" s="383"/>
      <c r="AJ36" s="475" t="str">
        <f t="shared" si="20"/>
        <v>0</v>
      </c>
      <c r="AK36" s="316">
        <f t="shared" si="12"/>
        <v>0</v>
      </c>
      <c r="AL36" s="382"/>
      <c r="AM36" s="475">
        <f t="shared" si="21"/>
        <v>0</v>
      </c>
      <c r="AN36" s="387">
        <f t="shared" si="24"/>
        <v>0</v>
      </c>
    </row>
    <row r="37" spans="1:41" ht="24" customHeight="1" x14ac:dyDescent="0.3">
      <c r="A37" s="58">
        <f>Gen!B42</f>
        <v>0</v>
      </c>
      <c r="B37" s="3"/>
      <c r="C37" s="96">
        <f t="shared" si="40"/>
        <v>0</v>
      </c>
      <c r="D37" s="1"/>
      <c r="E37" s="474">
        <f t="shared" si="28"/>
        <v>0</v>
      </c>
      <c r="F37" s="96">
        <f t="shared" si="2"/>
        <v>0</v>
      </c>
      <c r="G37" s="385"/>
      <c r="H37" s="474">
        <f t="shared" si="41"/>
        <v>0</v>
      </c>
      <c r="I37" s="96">
        <f t="shared" si="32"/>
        <v>0</v>
      </c>
      <c r="J37" s="1"/>
      <c r="K37" s="474">
        <f t="shared" si="43"/>
        <v>0</v>
      </c>
      <c r="L37" s="96">
        <f t="shared" si="33"/>
        <v>0</v>
      </c>
      <c r="M37" s="1"/>
      <c r="N37" s="474">
        <f t="shared" si="34"/>
        <v>0</v>
      </c>
      <c r="O37" s="96">
        <f t="shared" si="38"/>
        <v>0</v>
      </c>
      <c r="P37" s="381"/>
      <c r="Q37" s="474">
        <f t="shared" si="42"/>
        <v>0</v>
      </c>
      <c r="R37" s="251"/>
      <c r="S37" s="246">
        <f t="shared" si="35"/>
        <v>0</v>
      </c>
      <c r="T37" s="382"/>
      <c r="U37" s="475">
        <f t="shared" si="36"/>
        <v>0</v>
      </c>
      <c r="V37" s="246">
        <f t="shared" si="30"/>
        <v>0</v>
      </c>
      <c r="W37" s="382"/>
      <c r="X37" s="475">
        <f t="shared" si="17"/>
        <v>0</v>
      </c>
      <c r="Y37" s="246">
        <f t="shared" si="9"/>
        <v>0</v>
      </c>
      <c r="Z37" s="382"/>
      <c r="AA37" s="475">
        <f t="shared" si="18"/>
        <v>0</v>
      </c>
      <c r="AB37" s="608">
        <f t="shared" si="22"/>
        <v>0</v>
      </c>
      <c r="AC37" s="247"/>
      <c r="AD37" s="611">
        <f t="shared" si="23"/>
        <v>0</v>
      </c>
      <c r="AE37" s="246">
        <f t="shared" si="10"/>
        <v>0</v>
      </c>
      <c r="AF37" s="383"/>
      <c r="AG37" s="475">
        <f t="shared" si="19"/>
        <v>0</v>
      </c>
      <c r="AH37" s="246">
        <f t="shared" si="11"/>
        <v>0</v>
      </c>
      <c r="AI37" s="383"/>
      <c r="AJ37" s="475">
        <f t="shared" si="20"/>
        <v>0</v>
      </c>
      <c r="AK37" s="316">
        <f t="shared" si="12"/>
        <v>0</v>
      </c>
      <c r="AL37" s="382"/>
      <c r="AM37" s="475">
        <f t="shared" si="21"/>
        <v>0</v>
      </c>
      <c r="AN37" s="387">
        <f t="shared" ref="AN37" si="44">U38+X38+AA38+AD38+AG38+AJ38+AM38</f>
        <v>1331</v>
      </c>
    </row>
    <row r="38" spans="1:41" ht="18.75" x14ac:dyDescent="0.3">
      <c r="A38" s="58"/>
      <c r="B38" s="22"/>
      <c r="C38" s="972" t="s">
        <v>6</v>
      </c>
      <c r="D38" s="972"/>
      <c r="E38" s="23">
        <f>SUM(E6:E36)</f>
        <v>1744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30</v>
      </c>
      <c r="L38" s="148"/>
      <c r="M38" s="148"/>
      <c r="N38" s="29">
        <f t="shared" ref="N38" si="45">M38-M37</f>
        <v>0</v>
      </c>
      <c r="O38" s="27"/>
      <c r="P38" s="248"/>
      <c r="Q38" s="249">
        <f t="shared" ref="Q38" si="46">P38-O38</f>
        <v>0</v>
      </c>
      <c r="R38" s="250">
        <f>E38</f>
        <v>1744</v>
      </c>
      <c r="S38" s="248"/>
      <c r="T38" s="248"/>
      <c r="U38" s="258">
        <f>SUM(U6:U37)</f>
        <v>1331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75">
        <f t="shared" ref="AJ38" si="47">IF((AI39-AI37)&lt;0,"0",(AI39-AI37))</f>
        <v>0</v>
      </c>
      <c r="AK38" s="248"/>
      <c r="AL38" s="248"/>
      <c r="AM38" s="248"/>
      <c r="AN38" s="254">
        <f t="shared" ref="AN38" si="48">U38+X38+AA38+AD38+AG38+AJ38+AM38</f>
        <v>1331</v>
      </c>
    </row>
    <row r="40" spans="1:41" x14ac:dyDescent="0.2">
      <c r="R40" s="20"/>
      <c r="AF40" t="s">
        <v>253</v>
      </c>
    </row>
    <row r="41" spans="1:41" ht="13.5" thickBot="1" x14ac:dyDescent="0.25">
      <c r="R41" s="20"/>
    </row>
    <row r="42" spans="1:41" ht="18.75" thickBot="1" x14ac:dyDescent="0.3">
      <c r="A42" s="941"/>
      <c r="B42" s="278"/>
      <c r="C42" s="938" t="s">
        <v>222</v>
      </c>
      <c r="D42" s="939"/>
      <c r="E42" s="939"/>
      <c r="F42" s="939"/>
      <c r="G42" s="939"/>
      <c r="H42" s="939"/>
      <c r="I42" s="939"/>
      <c r="J42" s="939"/>
      <c r="K42" s="940"/>
      <c r="R42" s="20"/>
    </row>
    <row r="43" spans="1:41" ht="24.75" customHeight="1" x14ac:dyDescent="0.2">
      <c r="A43" s="942"/>
      <c r="B43" s="20"/>
      <c r="C43" s="944" t="s">
        <v>216</v>
      </c>
      <c r="D43" s="945"/>
      <c r="E43" s="946" t="s">
        <v>237</v>
      </c>
      <c r="F43" s="947"/>
      <c r="G43" s="948" t="s">
        <v>217</v>
      </c>
      <c r="H43" s="949"/>
      <c r="I43" s="948" t="s">
        <v>238</v>
      </c>
      <c r="J43" s="949"/>
      <c r="K43" s="936" t="s">
        <v>223</v>
      </c>
      <c r="R43" s="20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 x14ac:dyDescent="0.25">
      <c r="A44" s="942"/>
      <c r="B44" s="20"/>
      <c r="C44" s="950" t="s">
        <v>218</v>
      </c>
      <c r="D44" s="951"/>
      <c r="E44" s="950" t="s">
        <v>219</v>
      </c>
      <c r="F44" s="951"/>
      <c r="G44" s="950" t="s">
        <v>220</v>
      </c>
      <c r="H44" s="951"/>
      <c r="I44" s="950" t="s">
        <v>221</v>
      </c>
      <c r="J44" s="951"/>
      <c r="K44" s="937"/>
      <c r="R44" s="20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 x14ac:dyDescent="0.25">
      <c r="A45" s="943"/>
      <c r="B45" s="20"/>
      <c r="C45" s="324" t="s">
        <v>225</v>
      </c>
      <c r="D45" s="325" t="s">
        <v>224</v>
      </c>
      <c r="E45" s="326" t="s">
        <v>225</v>
      </c>
      <c r="F45" s="327" t="s">
        <v>224</v>
      </c>
      <c r="G45" s="476"/>
      <c r="H45" s="327" t="s">
        <v>224</v>
      </c>
      <c r="I45" s="326"/>
      <c r="J45" s="327" t="s">
        <v>224</v>
      </c>
      <c r="K45" s="328" t="s">
        <v>224</v>
      </c>
      <c r="R45" s="20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 x14ac:dyDescent="0.25">
      <c r="A46" s="294">
        <f>Gen!B11</f>
        <v>44136</v>
      </c>
      <c r="B46" s="20"/>
      <c r="C46" s="63">
        <v>308</v>
      </c>
      <c r="D46" s="323">
        <f t="shared" ref="D46:D77" si="49">C46*217/300</f>
        <v>222.78666666666666</v>
      </c>
      <c r="E46" s="6">
        <v>285</v>
      </c>
      <c r="F46" s="323">
        <f t="shared" ref="F46:F77" si="50">E46*92/305</f>
        <v>85.967213114754102</v>
      </c>
      <c r="G46" s="620">
        <v>40</v>
      </c>
      <c r="H46" s="323">
        <f t="shared" ref="H46:H77" si="51">G46*146/383</f>
        <v>15.248041775456919</v>
      </c>
      <c r="I46" s="6">
        <v>290</v>
      </c>
      <c r="J46" s="323">
        <f t="shared" ref="J46:J77" si="52">I46*213/308</f>
        <v>200.55194805194805</v>
      </c>
      <c r="K46" s="329">
        <f>D46+F46+H46+J46</f>
        <v>524.55386960882572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 x14ac:dyDescent="0.25">
      <c r="A47" s="294">
        <f>Gen!B12</f>
        <v>44137</v>
      </c>
      <c r="B47" s="20"/>
      <c r="C47" s="63">
        <v>136</v>
      </c>
      <c r="D47" s="323">
        <f t="shared" si="49"/>
        <v>98.373333333333335</v>
      </c>
      <c r="E47" s="6">
        <v>100</v>
      </c>
      <c r="F47" s="323">
        <f t="shared" si="50"/>
        <v>30.16393442622951</v>
      </c>
      <c r="G47" s="477">
        <v>220</v>
      </c>
      <c r="H47" s="323">
        <f t="shared" si="51"/>
        <v>83.86422976501305</v>
      </c>
      <c r="I47" s="6">
        <v>295</v>
      </c>
      <c r="J47" s="323">
        <f t="shared" si="52"/>
        <v>204.00974025974025</v>
      </c>
      <c r="K47" s="329">
        <f t="shared" ref="K47:K77" si="53">D47+F47+H47+J47</f>
        <v>416.41123778431614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 x14ac:dyDescent="0.25">
      <c r="A48" s="294">
        <f>Gen!B13</f>
        <v>44138</v>
      </c>
      <c r="B48" s="20"/>
      <c r="C48" s="63">
        <v>128</v>
      </c>
      <c r="D48" s="323">
        <f t="shared" si="49"/>
        <v>92.586666666666673</v>
      </c>
      <c r="E48" s="6">
        <v>96</v>
      </c>
      <c r="F48" s="323">
        <f t="shared" si="50"/>
        <v>28.957377049180327</v>
      </c>
      <c r="G48" s="477">
        <v>255</v>
      </c>
      <c r="H48" s="323">
        <f t="shared" si="51"/>
        <v>97.206266318537857</v>
      </c>
      <c r="I48" s="6">
        <v>292</v>
      </c>
      <c r="J48" s="323">
        <f t="shared" si="52"/>
        <v>201.93506493506493</v>
      </c>
      <c r="K48" s="329">
        <f t="shared" si="53"/>
        <v>420.68537496944975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 x14ac:dyDescent="0.25">
      <c r="A49" s="294">
        <f>Gen!B14</f>
        <v>44139</v>
      </c>
      <c r="B49" s="20"/>
      <c r="C49" s="63">
        <v>190</v>
      </c>
      <c r="D49" s="323">
        <f t="shared" si="49"/>
        <v>137.43333333333334</v>
      </c>
      <c r="E49" s="6">
        <v>155</v>
      </c>
      <c r="F49" s="323">
        <f t="shared" si="50"/>
        <v>46.754098360655739</v>
      </c>
      <c r="G49" s="477">
        <v>165</v>
      </c>
      <c r="H49" s="323">
        <f t="shared" si="51"/>
        <v>62.898172323759788</v>
      </c>
      <c r="I49" s="6">
        <v>288</v>
      </c>
      <c r="J49" s="323">
        <f t="shared" si="52"/>
        <v>199.16883116883116</v>
      </c>
      <c r="K49" s="329">
        <f t="shared" si="53"/>
        <v>446.25443518658005</v>
      </c>
    </row>
    <row r="50" spans="1:15" ht="13.5" x14ac:dyDescent="0.25">
      <c r="A50" s="294">
        <f>Gen!B15</f>
        <v>44140</v>
      </c>
      <c r="B50" s="20"/>
      <c r="C50" s="63">
        <v>276</v>
      </c>
      <c r="D50" s="323">
        <f t="shared" si="49"/>
        <v>199.64</v>
      </c>
      <c r="E50" s="6">
        <v>240</v>
      </c>
      <c r="F50" s="323">
        <f t="shared" si="50"/>
        <v>72.393442622950815</v>
      </c>
      <c r="G50" s="477">
        <v>160</v>
      </c>
      <c r="H50" s="323">
        <f t="shared" si="51"/>
        <v>60.992167101827675</v>
      </c>
      <c r="I50" s="6">
        <v>290</v>
      </c>
      <c r="J50" s="323">
        <f t="shared" si="52"/>
        <v>200.55194805194805</v>
      </c>
      <c r="K50" s="329">
        <f t="shared" si="53"/>
        <v>533.57755777672651</v>
      </c>
    </row>
    <row r="51" spans="1:15" ht="13.5" x14ac:dyDescent="0.25">
      <c r="A51" s="294">
        <f>Gen!B16</f>
        <v>44141</v>
      </c>
      <c r="B51" s="20"/>
      <c r="C51" s="63">
        <v>300</v>
      </c>
      <c r="D51" s="323">
        <f t="shared" si="49"/>
        <v>217</v>
      </c>
      <c r="E51" s="6">
        <v>285</v>
      </c>
      <c r="F51" s="323">
        <f t="shared" si="50"/>
        <v>85.967213114754102</v>
      </c>
      <c r="G51" s="477">
        <v>130</v>
      </c>
      <c r="H51" s="323">
        <f t="shared" si="51"/>
        <v>49.556135770234988</v>
      </c>
      <c r="I51" s="6">
        <v>290</v>
      </c>
      <c r="J51" s="323">
        <f t="shared" si="52"/>
        <v>200.55194805194805</v>
      </c>
      <c r="K51" s="329">
        <f t="shared" si="53"/>
        <v>553.07529693693709</v>
      </c>
    </row>
    <row r="52" spans="1:15" ht="13.5" x14ac:dyDescent="0.25">
      <c r="A52" s="294">
        <f>Gen!B17</f>
        <v>44142</v>
      </c>
      <c r="B52" s="20"/>
      <c r="C52" s="63">
        <v>246</v>
      </c>
      <c r="D52" s="323">
        <f t="shared" si="49"/>
        <v>177.94</v>
      </c>
      <c r="E52" s="6">
        <v>210</v>
      </c>
      <c r="F52" s="323">
        <f t="shared" si="50"/>
        <v>63.344262295081968</v>
      </c>
      <c r="G52" s="477">
        <v>75</v>
      </c>
      <c r="H52" s="323">
        <f t="shared" si="51"/>
        <v>28.590078328981722</v>
      </c>
      <c r="I52" s="6">
        <v>285</v>
      </c>
      <c r="J52" s="323">
        <f t="shared" si="52"/>
        <v>197.09415584415584</v>
      </c>
      <c r="K52" s="329">
        <f t="shared" si="53"/>
        <v>466.96849646821954</v>
      </c>
    </row>
    <row r="53" spans="1:15" ht="13.5" x14ac:dyDescent="0.25">
      <c r="A53" s="294">
        <f>Gen!B18</f>
        <v>44143</v>
      </c>
      <c r="B53" s="20"/>
      <c r="C53" s="63">
        <v>180</v>
      </c>
      <c r="D53" s="323">
        <f t="shared" si="49"/>
        <v>130.19999999999999</v>
      </c>
      <c r="E53" s="6">
        <v>145</v>
      </c>
      <c r="F53" s="323">
        <f t="shared" si="50"/>
        <v>43.73770491803279</v>
      </c>
      <c r="G53" s="477">
        <v>115</v>
      </c>
      <c r="H53" s="323">
        <f t="shared" si="51"/>
        <v>43.838120104438644</v>
      </c>
      <c r="I53" s="6">
        <v>292</v>
      </c>
      <c r="J53" s="323">
        <f t="shared" si="52"/>
        <v>201.93506493506493</v>
      </c>
      <c r="K53" s="329">
        <f t="shared" si="53"/>
        <v>419.71088995753632</v>
      </c>
    </row>
    <row r="54" spans="1:15" ht="13.5" x14ac:dyDescent="0.25">
      <c r="A54" s="294">
        <f>Gen!B19</f>
        <v>44144</v>
      </c>
      <c r="B54" s="20"/>
      <c r="C54" s="63">
        <v>170</v>
      </c>
      <c r="D54" s="323">
        <f t="shared" si="49"/>
        <v>122.96666666666667</v>
      </c>
      <c r="E54" s="6">
        <v>134</v>
      </c>
      <c r="F54" s="323">
        <f t="shared" si="50"/>
        <v>40.419672131147543</v>
      </c>
      <c r="G54" s="477">
        <v>250</v>
      </c>
      <c r="H54" s="323">
        <f t="shared" si="51"/>
        <v>95.300261096605738</v>
      </c>
      <c r="I54" s="6">
        <v>289</v>
      </c>
      <c r="J54" s="323">
        <f t="shared" si="52"/>
        <v>199.8603896103896</v>
      </c>
      <c r="K54" s="329">
        <f t="shared" si="53"/>
        <v>458.54698950480952</v>
      </c>
    </row>
    <row r="55" spans="1:15" ht="13.5" x14ac:dyDescent="0.25">
      <c r="A55" s="294">
        <f>Gen!B20</f>
        <v>44145</v>
      </c>
      <c r="B55" s="20"/>
      <c r="C55" s="63">
        <v>215</v>
      </c>
      <c r="D55" s="323">
        <f t="shared" si="49"/>
        <v>155.51666666666668</v>
      </c>
      <c r="E55" s="6">
        <v>175</v>
      </c>
      <c r="F55" s="323">
        <f t="shared" si="50"/>
        <v>52.786885245901637</v>
      </c>
      <c r="G55" s="477">
        <v>295</v>
      </c>
      <c r="H55" s="323">
        <f t="shared" si="51"/>
        <v>112.45430809399478</v>
      </c>
      <c r="I55" s="6">
        <v>280</v>
      </c>
      <c r="J55" s="323">
        <f t="shared" si="52"/>
        <v>193.63636363636363</v>
      </c>
      <c r="K55" s="329">
        <f t="shared" si="53"/>
        <v>514.3942236429267</v>
      </c>
    </row>
    <row r="56" spans="1:15" ht="13.5" x14ac:dyDescent="0.25">
      <c r="A56" s="294">
        <f>Gen!B21</f>
        <v>44146</v>
      </c>
      <c r="B56" s="20"/>
      <c r="C56" s="63">
        <v>276</v>
      </c>
      <c r="D56" s="323">
        <f t="shared" si="49"/>
        <v>199.64</v>
      </c>
      <c r="E56" s="6">
        <v>240</v>
      </c>
      <c r="F56" s="323">
        <f t="shared" si="50"/>
        <v>72.393442622950815</v>
      </c>
      <c r="G56" s="477">
        <v>280</v>
      </c>
      <c r="H56" s="323">
        <f t="shared" si="51"/>
        <v>106.73629242819844</v>
      </c>
      <c r="I56" s="6">
        <v>291</v>
      </c>
      <c r="J56" s="323">
        <f t="shared" si="52"/>
        <v>201.24350649350649</v>
      </c>
      <c r="K56" s="329">
        <f t="shared" si="53"/>
        <v>580.01324154465578</v>
      </c>
    </row>
    <row r="57" spans="1:15" ht="13.5" x14ac:dyDescent="0.25">
      <c r="A57" s="294">
        <f>Gen!B22</f>
        <v>44147</v>
      </c>
      <c r="B57" s="20"/>
      <c r="C57" s="63">
        <v>300</v>
      </c>
      <c r="D57" s="323">
        <f t="shared" si="49"/>
        <v>217</v>
      </c>
      <c r="E57" s="6">
        <v>290</v>
      </c>
      <c r="F57" s="323">
        <f t="shared" si="50"/>
        <v>87.47540983606558</v>
      </c>
      <c r="G57" s="477">
        <v>218</v>
      </c>
      <c r="H57" s="323">
        <f t="shared" si="51"/>
        <v>83.101827676240205</v>
      </c>
      <c r="I57" s="6">
        <v>290</v>
      </c>
      <c r="J57" s="323">
        <f t="shared" si="52"/>
        <v>200.55194805194805</v>
      </c>
      <c r="K57" s="329">
        <f t="shared" si="53"/>
        <v>588.12918556425382</v>
      </c>
    </row>
    <row r="58" spans="1:15" ht="13.5" x14ac:dyDescent="0.25">
      <c r="A58" s="294">
        <f>Gen!B23</f>
        <v>44148</v>
      </c>
      <c r="B58" s="20"/>
      <c r="C58" s="63">
        <v>280</v>
      </c>
      <c r="D58" s="323">
        <f t="shared" si="49"/>
        <v>202.53333333333333</v>
      </c>
      <c r="E58" s="6">
        <v>245</v>
      </c>
      <c r="F58" s="323">
        <f t="shared" si="50"/>
        <v>73.901639344262293</v>
      </c>
      <c r="G58" s="477">
        <v>210</v>
      </c>
      <c r="H58" s="323">
        <f t="shared" si="51"/>
        <v>80.052219321148826</v>
      </c>
      <c r="I58" s="6">
        <v>288</v>
      </c>
      <c r="J58" s="323">
        <f t="shared" si="52"/>
        <v>199.16883116883116</v>
      </c>
      <c r="K58" s="329">
        <f t="shared" si="53"/>
        <v>555.65602316757554</v>
      </c>
    </row>
    <row r="59" spans="1:15" ht="13.5" x14ac:dyDescent="0.25">
      <c r="A59" s="294">
        <f>Gen!B24</f>
        <v>44149</v>
      </c>
      <c r="B59" s="20"/>
      <c r="C59" s="63">
        <v>266</v>
      </c>
      <c r="D59" s="323">
        <f t="shared" si="49"/>
        <v>192.40666666666667</v>
      </c>
      <c r="E59" s="6">
        <v>230</v>
      </c>
      <c r="F59" s="323">
        <f t="shared" si="50"/>
        <v>69.377049180327873</v>
      </c>
      <c r="G59" s="477">
        <v>175</v>
      </c>
      <c r="H59" s="323">
        <f t="shared" si="51"/>
        <v>66.710182767624019</v>
      </c>
      <c r="I59" s="6">
        <v>292</v>
      </c>
      <c r="J59" s="323">
        <f t="shared" si="52"/>
        <v>201.93506493506493</v>
      </c>
      <c r="K59" s="329">
        <f t="shared" si="53"/>
        <v>530.42896354968343</v>
      </c>
    </row>
    <row r="60" spans="1:15" ht="13.5" x14ac:dyDescent="0.25">
      <c r="A60" s="294">
        <f>Gen!B25</f>
        <v>44150</v>
      </c>
      <c r="B60" s="20"/>
      <c r="C60" s="63">
        <v>250</v>
      </c>
      <c r="D60" s="323">
        <f t="shared" si="49"/>
        <v>180.83333333333334</v>
      </c>
      <c r="E60" s="6">
        <v>215</v>
      </c>
      <c r="F60" s="323">
        <f t="shared" si="50"/>
        <v>64.852459016393439</v>
      </c>
      <c r="G60" s="477">
        <v>125</v>
      </c>
      <c r="H60" s="323">
        <f t="shared" si="51"/>
        <v>47.650130548302869</v>
      </c>
      <c r="I60" s="6">
        <v>290</v>
      </c>
      <c r="J60" s="323">
        <f t="shared" si="52"/>
        <v>200.55194805194805</v>
      </c>
      <c r="K60" s="329">
        <f t="shared" si="53"/>
        <v>493.8878709499777</v>
      </c>
      <c r="L60" t="s">
        <v>249</v>
      </c>
      <c r="O60" t="s">
        <v>250</v>
      </c>
    </row>
    <row r="61" spans="1:15" ht="13.5" x14ac:dyDescent="0.25">
      <c r="A61" s="294">
        <f>Gen!B26</f>
        <v>44151</v>
      </c>
      <c r="B61" s="20"/>
      <c r="C61" s="63">
        <v>271</v>
      </c>
      <c r="D61" s="323">
        <f t="shared" si="49"/>
        <v>196.02333333333334</v>
      </c>
      <c r="E61" s="6">
        <v>235</v>
      </c>
      <c r="F61" s="323">
        <f t="shared" si="50"/>
        <v>70.885245901639351</v>
      </c>
      <c r="G61" s="477">
        <v>35</v>
      </c>
      <c r="H61" s="323">
        <f t="shared" si="51"/>
        <v>13.342036553524805</v>
      </c>
      <c r="I61" s="6">
        <v>286</v>
      </c>
      <c r="J61" s="323">
        <f t="shared" si="52"/>
        <v>197.78571428571428</v>
      </c>
      <c r="K61" s="329">
        <f t="shared" si="53"/>
        <v>478.03633007421178</v>
      </c>
      <c r="L61" t="s">
        <v>252</v>
      </c>
      <c r="N61" t="s">
        <v>251</v>
      </c>
    </row>
    <row r="62" spans="1:15" ht="13.5" x14ac:dyDescent="0.25">
      <c r="A62" s="294">
        <f>Gen!B27</f>
        <v>44152</v>
      </c>
      <c r="B62" s="20"/>
      <c r="C62" s="63">
        <v>276</v>
      </c>
      <c r="D62" s="323">
        <f t="shared" si="49"/>
        <v>199.64</v>
      </c>
      <c r="E62" s="6">
        <v>240</v>
      </c>
      <c r="F62" s="323">
        <f t="shared" si="50"/>
        <v>72.393442622950815</v>
      </c>
      <c r="G62" s="477">
        <v>5</v>
      </c>
      <c r="H62" s="323">
        <f t="shared" si="51"/>
        <v>1.9060052219321149</v>
      </c>
      <c r="I62" s="6">
        <v>205</v>
      </c>
      <c r="J62" s="323">
        <f t="shared" si="52"/>
        <v>141.76948051948051</v>
      </c>
      <c r="K62" s="329">
        <f t="shared" si="53"/>
        <v>415.70892836436343</v>
      </c>
    </row>
    <row r="63" spans="1:15" ht="13.5" x14ac:dyDescent="0.25">
      <c r="A63" s="294">
        <f>Gen!B28</f>
        <v>44153</v>
      </c>
      <c r="B63" s="20"/>
      <c r="C63" s="63">
        <v>210</v>
      </c>
      <c r="D63" s="323">
        <f t="shared" si="49"/>
        <v>151.9</v>
      </c>
      <c r="E63" s="6">
        <v>175</v>
      </c>
      <c r="F63" s="323">
        <f t="shared" si="50"/>
        <v>52.786885245901637</v>
      </c>
      <c r="G63" s="477">
        <v>95</v>
      </c>
      <c r="H63" s="323">
        <f t="shared" si="51"/>
        <v>36.214099216710181</v>
      </c>
      <c r="I63" s="6">
        <v>290</v>
      </c>
      <c r="J63" s="323">
        <f t="shared" si="52"/>
        <v>200.55194805194805</v>
      </c>
      <c r="K63" s="329">
        <f t="shared" si="53"/>
        <v>441.45293251455985</v>
      </c>
    </row>
    <row r="64" spans="1:15" ht="13.5" x14ac:dyDescent="0.25">
      <c r="A64" s="294">
        <f>Gen!B29</f>
        <v>44154</v>
      </c>
      <c r="B64" s="20"/>
      <c r="C64" s="63">
        <v>165</v>
      </c>
      <c r="D64" s="323">
        <f t="shared" si="49"/>
        <v>119.35</v>
      </c>
      <c r="E64" s="6">
        <v>125</v>
      </c>
      <c r="F64" s="323">
        <f t="shared" si="50"/>
        <v>37.704918032786885</v>
      </c>
      <c r="G64" s="477">
        <v>165</v>
      </c>
      <c r="H64" s="323">
        <f t="shared" si="51"/>
        <v>62.898172323759788</v>
      </c>
      <c r="I64" s="6">
        <v>288</v>
      </c>
      <c r="J64" s="323">
        <f t="shared" si="52"/>
        <v>199.16883116883116</v>
      </c>
      <c r="K64" s="329">
        <f t="shared" si="53"/>
        <v>419.12192152537784</v>
      </c>
    </row>
    <row r="65" spans="1:11" ht="13.5" x14ac:dyDescent="0.25">
      <c r="A65" s="294">
        <f>Gen!B30</f>
        <v>44155</v>
      </c>
      <c r="B65" s="20"/>
      <c r="C65" s="63">
        <v>111</v>
      </c>
      <c r="D65" s="323">
        <f t="shared" si="49"/>
        <v>80.290000000000006</v>
      </c>
      <c r="E65" s="6">
        <v>75</v>
      </c>
      <c r="F65" s="323">
        <f t="shared" si="50"/>
        <v>22.622950819672131</v>
      </c>
      <c r="G65" s="477">
        <v>230</v>
      </c>
      <c r="H65" s="323">
        <f t="shared" si="51"/>
        <v>87.676240208877289</v>
      </c>
      <c r="I65" s="6">
        <v>280</v>
      </c>
      <c r="J65" s="323">
        <f t="shared" si="52"/>
        <v>193.63636363636363</v>
      </c>
      <c r="K65" s="329">
        <f t="shared" si="53"/>
        <v>384.22555466491303</v>
      </c>
    </row>
    <row r="66" spans="1:11" ht="13.5" x14ac:dyDescent="0.25">
      <c r="A66" s="294">
        <f>Gen!B31</f>
        <v>44156</v>
      </c>
      <c r="B66" s="20"/>
      <c r="C66" s="63">
        <v>120</v>
      </c>
      <c r="D66" s="323">
        <f t="shared" si="49"/>
        <v>86.8</v>
      </c>
      <c r="E66" s="6">
        <v>60</v>
      </c>
      <c r="F66" s="323">
        <f t="shared" si="50"/>
        <v>18.098360655737704</v>
      </c>
      <c r="G66" s="477">
        <v>270</v>
      </c>
      <c r="H66" s="323">
        <f t="shared" si="51"/>
        <v>102.9242819843342</v>
      </c>
      <c r="I66" s="6">
        <v>290</v>
      </c>
      <c r="J66" s="323">
        <f t="shared" si="52"/>
        <v>200.55194805194805</v>
      </c>
      <c r="K66" s="329">
        <f t="shared" si="53"/>
        <v>408.37459069201998</v>
      </c>
    </row>
    <row r="67" spans="1:11" ht="13.5" x14ac:dyDescent="0.25">
      <c r="A67" s="294">
        <f>Gen!B32</f>
        <v>44157</v>
      </c>
      <c r="B67" s="20"/>
      <c r="C67" s="63">
        <v>163</v>
      </c>
      <c r="D67" s="323">
        <f t="shared" si="49"/>
        <v>117.90333333333334</v>
      </c>
      <c r="E67" s="6">
        <v>128</v>
      </c>
      <c r="F67" s="323">
        <f t="shared" si="50"/>
        <v>38.609836065573774</v>
      </c>
      <c r="G67" s="477">
        <v>300</v>
      </c>
      <c r="H67" s="323">
        <f t="shared" si="51"/>
        <v>114.36031331592689</v>
      </c>
      <c r="I67" s="6">
        <v>285</v>
      </c>
      <c r="J67" s="323">
        <f t="shared" si="52"/>
        <v>197.09415584415584</v>
      </c>
      <c r="K67" s="329">
        <f t="shared" si="53"/>
        <v>467.96763855898985</v>
      </c>
    </row>
    <row r="68" spans="1:11" ht="13.5" x14ac:dyDescent="0.25">
      <c r="A68" s="294">
        <f>Gen!B33</f>
        <v>44158</v>
      </c>
      <c r="B68" s="20"/>
      <c r="C68" s="63">
        <v>290</v>
      </c>
      <c r="D68" s="323">
        <f t="shared" si="49"/>
        <v>209.76666666666668</v>
      </c>
      <c r="E68" s="6">
        <v>255</v>
      </c>
      <c r="F68" s="323">
        <f t="shared" si="50"/>
        <v>76.918032786885249</v>
      </c>
      <c r="G68" s="477">
        <v>210</v>
      </c>
      <c r="H68" s="323">
        <f t="shared" si="51"/>
        <v>80.052219321148826</v>
      </c>
      <c r="I68" s="6">
        <v>280</v>
      </c>
      <c r="J68" s="323">
        <f t="shared" si="52"/>
        <v>193.63636363636363</v>
      </c>
      <c r="K68" s="329">
        <f t="shared" si="53"/>
        <v>560.37328241106434</v>
      </c>
    </row>
    <row r="69" spans="1:11" ht="13.5" x14ac:dyDescent="0.25">
      <c r="A69" s="294">
        <f>Gen!B34</f>
        <v>44159</v>
      </c>
      <c r="B69" s="20"/>
      <c r="C69" s="63">
        <v>288</v>
      </c>
      <c r="D69" s="323">
        <f t="shared" si="49"/>
        <v>208.32</v>
      </c>
      <c r="E69" s="6">
        <v>252</v>
      </c>
      <c r="F69" s="323">
        <f t="shared" si="50"/>
        <v>76.013114754098368</v>
      </c>
      <c r="G69" s="477">
        <v>110</v>
      </c>
      <c r="H69" s="323">
        <f t="shared" si="51"/>
        <v>41.932114882506525</v>
      </c>
      <c r="I69" s="6">
        <v>291</v>
      </c>
      <c r="J69" s="323">
        <f t="shared" si="52"/>
        <v>201.24350649350649</v>
      </c>
      <c r="K69" s="329">
        <f t="shared" si="53"/>
        <v>527.5087361301114</v>
      </c>
    </row>
    <row r="70" spans="1:11" ht="13.5" x14ac:dyDescent="0.25">
      <c r="A70" s="294">
        <f>Gen!B35</f>
        <v>44160</v>
      </c>
      <c r="B70" s="20"/>
      <c r="C70" s="63">
        <v>236</v>
      </c>
      <c r="D70" s="323">
        <f t="shared" si="49"/>
        <v>170.70666666666668</v>
      </c>
      <c r="E70" s="6">
        <v>200</v>
      </c>
      <c r="F70" s="323">
        <f t="shared" si="50"/>
        <v>60.327868852459019</v>
      </c>
      <c r="G70" s="477">
        <v>155</v>
      </c>
      <c r="H70" s="323">
        <f t="shared" si="51"/>
        <v>59.086161879895563</v>
      </c>
      <c r="I70" s="6">
        <v>292</v>
      </c>
      <c r="J70" s="323">
        <f t="shared" si="52"/>
        <v>201.93506493506493</v>
      </c>
      <c r="K70" s="329">
        <f t="shared" si="53"/>
        <v>492.05576233408618</v>
      </c>
    </row>
    <row r="71" spans="1:11" ht="13.5" x14ac:dyDescent="0.25">
      <c r="A71" s="294">
        <f>Gen!B36</f>
        <v>44161</v>
      </c>
      <c r="B71" s="20"/>
      <c r="C71" s="63">
        <v>215</v>
      </c>
      <c r="D71" s="323">
        <f t="shared" si="49"/>
        <v>155.51666666666668</v>
      </c>
      <c r="E71" s="6">
        <v>180</v>
      </c>
      <c r="F71" s="323">
        <f t="shared" si="50"/>
        <v>54.295081967213115</v>
      </c>
      <c r="G71" s="477">
        <v>255</v>
      </c>
      <c r="H71" s="323">
        <f t="shared" si="51"/>
        <v>97.206266318537857</v>
      </c>
      <c r="I71" s="6">
        <v>288</v>
      </c>
      <c r="J71" s="323">
        <f t="shared" si="52"/>
        <v>199.16883116883116</v>
      </c>
      <c r="K71" s="329">
        <f t="shared" si="53"/>
        <v>506.18684612124883</v>
      </c>
    </row>
    <row r="72" spans="1:11" ht="13.5" x14ac:dyDescent="0.25">
      <c r="A72" s="294">
        <f>Gen!B37</f>
        <v>44162</v>
      </c>
      <c r="B72" s="20"/>
      <c r="C72" s="63">
        <v>246</v>
      </c>
      <c r="D72" s="323">
        <f t="shared" si="49"/>
        <v>177.94</v>
      </c>
      <c r="E72" s="6">
        <v>210</v>
      </c>
      <c r="F72" s="323">
        <f t="shared" si="50"/>
        <v>63.344262295081968</v>
      </c>
      <c r="G72" s="477">
        <v>290</v>
      </c>
      <c r="H72" s="323">
        <f t="shared" si="51"/>
        <v>110.54830287206266</v>
      </c>
      <c r="I72" s="6">
        <v>290</v>
      </c>
      <c r="J72" s="323">
        <f t="shared" si="52"/>
        <v>200.55194805194805</v>
      </c>
      <c r="K72" s="329">
        <f t="shared" si="53"/>
        <v>552.3845132190927</v>
      </c>
    </row>
    <row r="73" spans="1:11" ht="13.5" x14ac:dyDescent="0.25">
      <c r="A73" s="294">
        <f>Gen!B38</f>
        <v>44163</v>
      </c>
      <c r="B73" s="20"/>
      <c r="C73" s="63">
        <v>295</v>
      </c>
      <c r="D73" s="323">
        <f t="shared" si="49"/>
        <v>213.38333333333333</v>
      </c>
      <c r="E73" s="6">
        <v>260</v>
      </c>
      <c r="F73" s="323">
        <f t="shared" si="50"/>
        <v>78.426229508196727</v>
      </c>
      <c r="G73" s="477">
        <v>285</v>
      </c>
      <c r="H73" s="323">
        <f t="shared" si="51"/>
        <v>108.64229765013054</v>
      </c>
      <c r="I73" s="6">
        <v>290</v>
      </c>
      <c r="J73" s="323">
        <f t="shared" si="52"/>
        <v>200.55194805194805</v>
      </c>
      <c r="K73" s="329">
        <f t="shared" si="53"/>
        <v>601.00380854360867</v>
      </c>
    </row>
    <row r="74" spans="1:11" ht="13.5" x14ac:dyDescent="0.25">
      <c r="A74" s="294">
        <f>Gen!B39</f>
        <v>44164</v>
      </c>
      <c r="B74" s="20"/>
      <c r="C74" s="63">
        <v>290</v>
      </c>
      <c r="D74" s="323">
        <f t="shared" si="49"/>
        <v>209.76666666666668</v>
      </c>
      <c r="E74" s="6">
        <v>255</v>
      </c>
      <c r="F74" s="323">
        <f t="shared" si="50"/>
        <v>76.918032786885249</v>
      </c>
      <c r="G74" s="477">
        <v>255</v>
      </c>
      <c r="H74" s="323">
        <f t="shared" si="51"/>
        <v>97.206266318537857</v>
      </c>
      <c r="I74" s="6">
        <v>289</v>
      </c>
      <c r="J74" s="323">
        <f t="shared" si="52"/>
        <v>199.8603896103896</v>
      </c>
      <c r="K74" s="329">
        <f t="shared" si="53"/>
        <v>583.75135538247946</v>
      </c>
    </row>
    <row r="75" spans="1:11" ht="14.25" thickBot="1" x14ac:dyDescent="0.3">
      <c r="A75" s="294">
        <f>Gen!B40</f>
        <v>44165</v>
      </c>
      <c r="B75" s="252"/>
      <c r="C75" s="63">
        <v>266</v>
      </c>
      <c r="D75" s="323">
        <f t="shared" si="49"/>
        <v>192.40666666666667</v>
      </c>
      <c r="E75" s="6">
        <v>230</v>
      </c>
      <c r="F75" s="323">
        <f t="shared" si="50"/>
        <v>69.377049180327873</v>
      </c>
      <c r="G75" s="477">
        <v>240</v>
      </c>
      <c r="H75" s="323">
        <f t="shared" si="51"/>
        <v>91.488250652741513</v>
      </c>
      <c r="I75" s="6">
        <v>292</v>
      </c>
      <c r="J75" s="323">
        <f t="shared" si="52"/>
        <v>201.93506493506493</v>
      </c>
      <c r="K75" s="329">
        <f t="shared" si="53"/>
        <v>555.20703143480091</v>
      </c>
    </row>
    <row r="76" spans="1:11" ht="13.5" x14ac:dyDescent="0.25">
      <c r="A76" s="294">
        <f>Gen!B41</f>
        <v>44166</v>
      </c>
      <c r="C76" s="63">
        <v>261</v>
      </c>
      <c r="D76" s="323">
        <f t="shared" si="49"/>
        <v>188.79</v>
      </c>
      <c r="E76" s="6">
        <v>225</v>
      </c>
      <c r="F76" s="323">
        <f t="shared" si="50"/>
        <v>67.868852459016395</v>
      </c>
      <c r="G76" s="477">
        <v>220</v>
      </c>
      <c r="H76" s="323">
        <f t="shared" si="51"/>
        <v>83.86422976501305</v>
      </c>
      <c r="I76" s="6">
        <v>290</v>
      </c>
      <c r="J76" s="323">
        <f t="shared" si="52"/>
        <v>200.55194805194805</v>
      </c>
      <c r="K76" s="329">
        <f t="shared" si="53"/>
        <v>541.0750302759775</v>
      </c>
    </row>
    <row r="77" spans="1:11" ht="14.25" thickBot="1" x14ac:dyDescent="0.3">
      <c r="A77" s="294">
        <f>Gen!B42</f>
        <v>0</v>
      </c>
      <c r="C77" s="63"/>
      <c r="D77" s="323">
        <f t="shared" si="49"/>
        <v>0</v>
      </c>
      <c r="E77" s="6"/>
      <c r="F77" s="323">
        <f t="shared" si="50"/>
        <v>0</v>
      </c>
      <c r="G77" s="477"/>
      <c r="H77" s="323">
        <f t="shared" si="51"/>
        <v>0</v>
      </c>
      <c r="I77" s="6"/>
      <c r="J77" s="323">
        <f t="shared" si="52"/>
        <v>0</v>
      </c>
      <c r="K77" s="330">
        <f t="shared" si="53"/>
        <v>0</v>
      </c>
    </row>
    <row r="78" spans="1:11" ht="13.5" x14ac:dyDescent="0.25">
      <c r="A78" s="294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I16" sqref="I16"/>
    </sheetView>
  </sheetViews>
  <sheetFormatPr defaultRowHeight="12.75" x14ac:dyDescent="0.2"/>
  <cols>
    <col min="1" max="1" width="9.7109375" bestFit="1" customWidth="1"/>
    <col min="2" max="2" width="10.28515625" style="12" bestFit="1" customWidth="1"/>
  </cols>
  <sheetData>
    <row r="1" spans="1:3" s="16" customFormat="1" x14ac:dyDescent="0.2">
      <c r="A1" s="14" t="s">
        <v>0</v>
      </c>
      <c r="B1" s="14" t="s">
        <v>23</v>
      </c>
      <c r="C1" s="14" t="s">
        <v>24</v>
      </c>
    </row>
    <row r="2" spans="1:3" x14ac:dyDescent="0.2">
      <c r="A2" s="94">
        <f>Gen!B11</f>
        <v>44136</v>
      </c>
      <c r="B2" s="13" t="e">
        <f>SUM('[1]Water-Meter'!R10)</f>
        <v>#REF!</v>
      </c>
      <c r="C2" s="93">
        <f>SUM([1]Gen!B11)</f>
        <v>0.623</v>
      </c>
    </row>
    <row r="3" spans="1:3" x14ac:dyDescent="0.2">
      <c r="A3" s="94">
        <f>Gen!B12</f>
        <v>44137</v>
      </c>
      <c r="B3" s="13" t="e">
        <f>SUM('[1]Water-Meter'!R11)</f>
        <v>#REF!</v>
      </c>
      <c r="C3" s="93">
        <f>SUM([1]Gen!B12)</f>
        <v>0.77900000000000003</v>
      </c>
    </row>
    <row r="4" spans="1:3" x14ac:dyDescent="0.2">
      <c r="A4" s="94">
        <f>Gen!B13</f>
        <v>44138</v>
      </c>
      <c r="B4" s="13" t="e">
        <f>SUM('[1]Water-Meter'!R12)</f>
        <v>#REF!</v>
      </c>
      <c r="C4" s="93">
        <f>SUM([1]Gen!B13)</f>
        <v>0.53200000000000003</v>
      </c>
    </row>
    <row r="5" spans="1:3" x14ac:dyDescent="0.2">
      <c r="A5" s="94">
        <f>Gen!B14</f>
        <v>44139</v>
      </c>
      <c r="B5" s="13" t="e">
        <f>SUM('[1]Water-Meter'!R13)</f>
        <v>#REF!</v>
      </c>
      <c r="C5" s="93">
        <f>SUM([1]Gen!B14)</f>
        <v>0.61</v>
      </c>
    </row>
    <row r="6" spans="1:3" x14ac:dyDescent="0.2">
      <c r="A6" s="94">
        <f>Gen!B15</f>
        <v>44140</v>
      </c>
      <c r="B6" s="13" t="e">
        <f>SUM('[1]Water-Meter'!R14)</f>
        <v>#REF!</v>
      </c>
      <c r="C6" s="93">
        <f>SUM([1]Gen!B15)</f>
        <v>0.68799999999999994</v>
      </c>
    </row>
    <row r="7" spans="1:3" x14ac:dyDescent="0.2">
      <c r="A7" s="94">
        <f>Gen!B16</f>
        <v>44141</v>
      </c>
      <c r="B7" s="13" t="e">
        <f>SUM('[1]Water-Meter'!R15)</f>
        <v>#REF!</v>
      </c>
      <c r="C7" s="93">
        <f>SUM([1]Gen!B16)</f>
        <v>0.53200000000000003</v>
      </c>
    </row>
    <row r="8" spans="1:3" x14ac:dyDescent="0.2">
      <c r="A8" s="94">
        <f>Gen!B17</f>
        <v>44142</v>
      </c>
      <c r="B8" s="13" t="e">
        <f>SUM('[1]Water-Meter'!R16)</f>
        <v>#REF!</v>
      </c>
      <c r="C8" s="93">
        <f>SUM([1]Gen!B17)</f>
        <v>0.753</v>
      </c>
    </row>
    <row r="9" spans="1:3" x14ac:dyDescent="0.2">
      <c r="A9" s="94">
        <f>Gen!B18</f>
        <v>44143</v>
      </c>
      <c r="B9" s="13" t="e">
        <f>SUM('[1]Water-Meter'!R17)</f>
        <v>#REF!</v>
      </c>
      <c r="C9" s="93">
        <f>SUM([1]Gen!B18)</f>
        <v>0.156</v>
      </c>
    </row>
    <row r="10" spans="1:3" x14ac:dyDescent="0.2">
      <c r="A10" s="94">
        <f>Gen!B19</f>
        <v>44144</v>
      </c>
      <c r="B10" s="13" t="e">
        <f>SUM('[1]Water-Meter'!R18)</f>
        <v>#REF!</v>
      </c>
      <c r="C10" s="93">
        <f>SUM([1]Gen!B19)</f>
        <v>0.442</v>
      </c>
    </row>
    <row r="11" spans="1:3" x14ac:dyDescent="0.2">
      <c r="A11" s="94">
        <f>Gen!B20</f>
        <v>44145</v>
      </c>
      <c r="B11" s="13" t="e">
        <f>SUM('[1]Water-Meter'!R19)</f>
        <v>#REF!</v>
      </c>
      <c r="C11" s="93">
        <f>SUM([1]Gen!B20)</f>
        <v>0.32500000000000001</v>
      </c>
    </row>
    <row r="12" spans="1:3" x14ac:dyDescent="0.2">
      <c r="A12" s="94">
        <f>Gen!B21</f>
        <v>44146</v>
      </c>
      <c r="B12" s="13" t="e">
        <f>SUM('[1]Water-Meter'!R20)</f>
        <v>#REF!</v>
      </c>
      <c r="C12" s="93">
        <f>SUM([1]Gen!B21)</f>
        <v>0.45500000000000002</v>
      </c>
    </row>
    <row r="13" spans="1:3" x14ac:dyDescent="0.2">
      <c r="A13" s="94">
        <f>Gen!B22</f>
        <v>44147</v>
      </c>
      <c r="B13" s="13" t="e">
        <f>SUM('[1]Water-Meter'!R21)</f>
        <v>#REF!</v>
      </c>
      <c r="C13" s="93">
        <f>SUM([1]Gen!B22)</f>
        <v>0.41599999999999998</v>
      </c>
    </row>
    <row r="14" spans="1:3" x14ac:dyDescent="0.2">
      <c r="A14" s="94">
        <f>Gen!B23</f>
        <v>44148</v>
      </c>
      <c r="B14" s="13" t="e">
        <f>SUM('[1]Water-Meter'!R22)</f>
        <v>#REF!</v>
      </c>
      <c r="C14" s="93">
        <f>SUM([1]Gen!B23)</f>
        <v>0.39</v>
      </c>
    </row>
    <row r="15" spans="1:3" x14ac:dyDescent="0.2">
      <c r="A15" s="94">
        <f>Gen!B24</f>
        <v>44149</v>
      </c>
      <c r="B15" s="13" t="e">
        <f>SUM('[1]Water-Meter'!R23)</f>
        <v>#REF!</v>
      </c>
      <c r="C15" s="93">
        <f>SUM([1]Gen!B24)</f>
        <v>0.63600000000000001</v>
      </c>
    </row>
    <row r="16" spans="1:3" x14ac:dyDescent="0.2">
      <c r="A16" s="94">
        <f>Gen!B25</f>
        <v>44150</v>
      </c>
      <c r="B16" s="13" t="e">
        <f>SUM('[1]Water-Meter'!R24)</f>
        <v>#REF!</v>
      </c>
      <c r="C16" s="93">
        <f>SUM([1]Gen!B25)</f>
        <v>0.84399999999999997</v>
      </c>
    </row>
    <row r="17" spans="1:3" x14ac:dyDescent="0.2">
      <c r="A17" s="94">
        <f>Gen!B26</f>
        <v>44151</v>
      </c>
      <c r="B17" s="13" t="e">
        <f>SUM('[1]Water-Meter'!R25)</f>
        <v>#REF!</v>
      </c>
      <c r="C17" s="93">
        <f>SUM([1]Gen!B26)</f>
        <v>0.81799999999999995</v>
      </c>
    </row>
    <row r="18" spans="1:3" x14ac:dyDescent="0.2">
      <c r="A18" s="94">
        <f>Gen!B27</f>
        <v>44152</v>
      </c>
      <c r="B18" s="13" t="e">
        <f>SUM('[1]Water-Meter'!R26)</f>
        <v>#REF!</v>
      </c>
      <c r="C18" s="93">
        <f>SUM([1]Gen!B27)</f>
        <v>0.20799999999999999</v>
      </c>
    </row>
    <row r="19" spans="1:3" x14ac:dyDescent="0.2">
      <c r="A19" s="94">
        <f>Gen!B28</f>
        <v>44153</v>
      </c>
      <c r="B19" s="13" t="e">
        <f>SUM('[1]Water-Meter'!R27)</f>
        <v>#REF!</v>
      </c>
      <c r="C19" s="93">
        <f>SUM([1]Gen!B28)</f>
        <v>0.221</v>
      </c>
    </row>
    <row r="20" spans="1:3" x14ac:dyDescent="0.2">
      <c r="A20" s="94">
        <f>Gen!B29</f>
        <v>44154</v>
      </c>
      <c r="B20" s="13" t="e">
        <f>SUM('[1]Water-Meter'!R28)</f>
        <v>#REF!</v>
      </c>
      <c r="C20" s="93">
        <f>SUM([1]Gen!B29)</f>
        <v>0.11700000000000001</v>
      </c>
    </row>
    <row r="21" spans="1:3" x14ac:dyDescent="0.2">
      <c r="A21" s="94">
        <f>Gen!B30</f>
        <v>44155</v>
      </c>
      <c r="B21" s="13" t="e">
        <f>SUM('[1]Water-Meter'!R29)</f>
        <v>#REF!</v>
      </c>
      <c r="C21" s="93">
        <f>SUM([1]Gen!B30)</f>
        <v>0.57099999999999995</v>
      </c>
    </row>
    <row r="22" spans="1:3" x14ac:dyDescent="0.2">
      <c r="A22" s="94">
        <f>Gen!B31</f>
        <v>44156</v>
      </c>
      <c r="B22" s="13" t="e">
        <f>SUM('[1]Water-Meter'!R30)</f>
        <v>#REF!</v>
      </c>
      <c r="C22" s="93">
        <f>SUM([1]Gen!B31)</f>
        <v>0.55800000000000005</v>
      </c>
    </row>
    <row r="23" spans="1:3" x14ac:dyDescent="0.2">
      <c r="A23" s="94">
        <f>Gen!B32</f>
        <v>44157</v>
      </c>
      <c r="B23" s="13" t="e">
        <f>SUM('[1]Water-Meter'!R31)</f>
        <v>#REF!</v>
      </c>
      <c r="C23" s="93">
        <f>SUM([1]Gen!B32)</f>
        <v>0.40300000000000002</v>
      </c>
    </row>
    <row r="24" spans="1:3" x14ac:dyDescent="0.2">
      <c r="A24" s="94">
        <f>Gen!B33</f>
        <v>44158</v>
      </c>
      <c r="B24" s="13" t="e">
        <f>SUM('[1]Water-Meter'!R32)</f>
        <v>#REF!</v>
      </c>
      <c r="C24" s="93">
        <f>SUM([1]Gen!B33)</f>
        <v>0.24</v>
      </c>
    </row>
    <row r="25" spans="1:3" x14ac:dyDescent="0.2">
      <c r="A25" s="94">
        <f>Gen!B34</f>
        <v>44159</v>
      </c>
      <c r="B25" s="13" t="e">
        <f>SUM('[1]Water-Meter'!R33)</f>
        <v>#REF!</v>
      </c>
      <c r="C25" s="93">
        <f>SUM([1]Gen!B34)</f>
        <v>0.09</v>
      </c>
    </row>
    <row r="26" spans="1:3" x14ac:dyDescent="0.2">
      <c r="A26" s="94">
        <f>Gen!B35</f>
        <v>44160</v>
      </c>
      <c r="B26" s="13" t="e">
        <f>SUM('[1]Water-Meter'!R34)</f>
        <v>#REF!</v>
      </c>
      <c r="C26" s="93">
        <f>SUM([1]Gen!B35)</f>
        <v>0.28599999999999998</v>
      </c>
    </row>
    <row r="27" spans="1:3" x14ac:dyDescent="0.2">
      <c r="A27" s="94">
        <f>Gen!B36</f>
        <v>44161</v>
      </c>
      <c r="B27" s="13" t="e">
        <f>SUM('[1]Water-Meter'!R35)</f>
        <v>#REF!</v>
      </c>
      <c r="C27" s="93">
        <f>SUM([1]Gen!B36)</f>
        <v>0.54500000000000004</v>
      </c>
    </row>
    <row r="28" spans="1:3" x14ac:dyDescent="0.2">
      <c r="A28" s="94">
        <f>Gen!B37</f>
        <v>44162</v>
      </c>
      <c r="B28" s="13" t="e">
        <f>SUM('[1]Water-Meter'!R36)</f>
        <v>#REF!</v>
      </c>
      <c r="C28" s="93">
        <f>SUM([1]Gen!B37)</f>
        <v>0.67500000000000004</v>
      </c>
    </row>
    <row r="29" spans="1:3" x14ac:dyDescent="0.2">
      <c r="A29" s="94">
        <f>Gen!B38</f>
        <v>44163</v>
      </c>
      <c r="B29" s="13" t="e">
        <f>SUM('[1]Water-Meter'!R37)</f>
        <v>#REF!</v>
      </c>
      <c r="C29" s="93">
        <f>SUM([1]Gen!B38)</f>
        <v>0.27300000000000002</v>
      </c>
    </row>
    <row r="30" spans="1:3" x14ac:dyDescent="0.2">
      <c r="A30" s="94">
        <f>Gen!B39</f>
        <v>44164</v>
      </c>
      <c r="B30" s="13">
        <f>SUM('[1]Water-Meter'!R38)</f>
        <v>-212333</v>
      </c>
      <c r="C30" s="93" t="e">
        <f>SUM([1]Gen!B39)</f>
        <v>#REF!</v>
      </c>
    </row>
    <row r="31" spans="1:3" x14ac:dyDescent="0.2">
      <c r="A31" s="94">
        <f>Gen!B40</f>
        <v>44165</v>
      </c>
      <c r="B31" s="13" t="e">
        <f>SUM('[1]Water-Meter'!R39)</f>
        <v>#REF!</v>
      </c>
      <c r="C31" s="93" t="e">
        <f>SUM([1]Gen!B40)</f>
        <v>#REF!</v>
      </c>
    </row>
    <row r="32" spans="1:3" x14ac:dyDescent="0.2">
      <c r="A32" s="94">
        <f>Gen!B41</f>
        <v>44166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selection activeCell="S12" sqref="S12"/>
    </sheetView>
  </sheetViews>
  <sheetFormatPr defaultRowHeight="12.75" x14ac:dyDescent="0.2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887" t="s">
        <v>316</v>
      </c>
      <c r="B2" s="888"/>
      <c r="C2" s="888"/>
      <c r="D2" s="888"/>
      <c r="E2" s="88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34" t="s">
        <v>68</v>
      </c>
      <c r="S2" s="434" t="s">
        <v>69</v>
      </c>
      <c r="T2" s="91">
        <v>1584</v>
      </c>
      <c r="U2" s="62"/>
      <c r="V2" s="66"/>
      <c r="W2" s="61"/>
    </row>
    <row r="3" spans="1:27" ht="38.25" customHeight="1" x14ac:dyDescent="0.2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35"/>
      <c r="U3" s="436"/>
      <c r="V3" s="68" t="s">
        <v>56</v>
      </c>
      <c r="W3" s="120" t="s">
        <v>78</v>
      </c>
      <c r="AA3" s="141" t="s">
        <v>79</v>
      </c>
    </row>
    <row r="4" spans="1:27" s="51" customFormat="1" ht="50.25" customHeight="1" x14ac:dyDescent="0.2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 x14ac:dyDescent="0.2">
      <c r="A5" s="54">
        <f>Gen!B11</f>
        <v>44136</v>
      </c>
      <c r="B5" s="83">
        <v>0</v>
      </c>
      <c r="C5" s="88">
        <f>Gen!C11</f>
        <v>2.5999999999999999E-2</v>
      </c>
      <c r="D5" s="433">
        <f>SUM(77*C5)</f>
        <v>2.0019999999999998</v>
      </c>
      <c r="E5" s="75"/>
      <c r="F5" s="71">
        <f>Gen!V11</f>
        <v>0.39587991718426502</v>
      </c>
      <c r="G5" s="86">
        <f>Gen!U11</f>
        <v>2415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54</v>
      </c>
      <c r="L5" s="447">
        <f>'Lpg (2)'!G10</f>
        <v>0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37" t="e">
        <f>SUM(Q5/E5)/X5</f>
        <v>#REF!</v>
      </c>
      <c r="T5" s="77">
        <f>(K5*102)/X5</f>
        <v>3.4772727272727271</v>
      </c>
      <c r="U5" s="123">
        <f>SUM(L5*1963)/X5</f>
        <v>0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38">
        <v>106</v>
      </c>
      <c r="Z5" s="80" t="e">
        <f>SUM(Y5-S5)</f>
        <v>#REF!</v>
      </c>
      <c r="AA5">
        <v>106</v>
      </c>
    </row>
    <row r="6" spans="1:27" x14ac:dyDescent="0.2">
      <c r="A6" s="54">
        <f>Gen!B12</f>
        <v>44137</v>
      </c>
      <c r="B6" s="83">
        <v>0</v>
      </c>
      <c r="C6" s="88">
        <f>Gen!C12</f>
        <v>5.1900000000000002E-2</v>
      </c>
      <c r="D6" s="433">
        <f t="shared" ref="D6:D35" si="2">SUM(77*C6)</f>
        <v>3.9963000000000002</v>
      </c>
      <c r="E6" s="75"/>
      <c r="F6" s="71">
        <f>Gen!V12</f>
        <v>0.42335498662590754</v>
      </c>
      <c r="G6" s="86">
        <f>Gen!U12</f>
        <v>2617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48</v>
      </c>
      <c r="L6" s="447">
        <f>'Lpg (2)'!G11</f>
        <v>57.420000000012813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37" t="e">
        <f t="shared" ref="S6:S35" si="4">SUM(Q6/E6)/X6</f>
        <v>#REF!</v>
      </c>
      <c r="T6" s="77">
        <f t="shared" ref="T6:T35" si="5">(K6*102)/X6</f>
        <v>3.0909090909090908</v>
      </c>
      <c r="U6" s="123">
        <f t="shared" ref="U6:U35" si="6">SUM(L6*1963)/X6</f>
        <v>71.158750000015885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38">
        <v>106</v>
      </c>
      <c r="Z6" s="80" t="e">
        <f t="shared" ref="Z6:Z35" si="8">SUM(Y6-S6)</f>
        <v>#REF!</v>
      </c>
    </row>
    <row r="7" spans="1:27" x14ac:dyDescent="0.2">
      <c r="A7" s="54">
        <f>Gen!B13</f>
        <v>44138</v>
      </c>
      <c r="B7" s="83">
        <v>0</v>
      </c>
      <c r="C7" s="88">
        <f>Gen!C13</f>
        <v>7.7899999999999997E-2</v>
      </c>
      <c r="D7" s="433">
        <f t="shared" si="2"/>
        <v>5.9982999999999995</v>
      </c>
      <c r="E7" s="75"/>
      <c r="F7" s="71">
        <f>Gen!V13</f>
        <v>0.44945601851851841</v>
      </c>
      <c r="G7" s="86">
        <f>Gen!U13</f>
        <v>2592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81</v>
      </c>
      <c r="L7" s="447">
        <f>'Lpg (2)'!G12</f>
        <v>50.159999999974396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37" t="e">
        <f t="shared" si="4"/>
        <v>#REF!</v>
      </c>
      <c r="T7" s="77">
        <f t="shared" si="5"/>
        <v>5.2159090909090908</v>
      </c>
      <c r="U7" s="123">
        <f t="shared" si="6"/>
        <v>62.161666666634936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38">
        <v>106</v>
      </c>
      <c r="Z7" s="80" t="e">
        <f t="shared" si="8"/>
        <v>#REF!</v>
      </c>
    </row>
    <row r="8" spans="1:27" x14ac:dyDescent="0.2">
      <c r="A8" s="54">
        <f>Gen!B14</f>
        <v>44139</v>
      </c>
      <c r="B8" s="83">
        <v>0</v>
      </c>
      <c r="C8" s="88">
        <f>Gen!C14</f>
        <v>6.4899999999999999E-2</v>
      </c>
      <c r="D8" s="433">
        <f t="shared" si="2"/>
        <v>4.9973000000000001</v>
      </c>
      <c r="E8" s="75"/>
      <c r="F8" s="71">
        <f>Gen!V14</f>
        <v>0.39410546139359698</v>
      </c>
      <c r="G8" s="86">
        <f>Gen!U14</f>
        <v>2655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50</v>
      </c>
      <c r="L8" s="447">
        <f>'Lpg (2)'!G13</f>
        <v>57.815999999997445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37" t="e">
        <f t="shared" si="4"/>
        <v>#REF!</v>
      </c>
      <c r="T8" s="77">
        <f t="shared" si="5"/>
        <v>3.2196969696969697</v>
      </c>
      <c r="U8" s="123">
        <f t="shared" si="6"/>
        <v>71.649499999996834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38">
        <v>106</v>
      </c>
      <c r="Z8" s="80" t="e">
        <f t="shared" si="8"/>
        <v>#REF!</v>
      </c>
    </row>
    <row r="9" spans="1:27" x14ac:dyDescent="0.2">
      <c r="A9" s="54">
        <f>Gen!B15</f>
        <v>44140</v>
      </c>
      <c r="B9" s="83">
        <v>0</v>
      </c>
      <c r="C9" s="88">
        <f>Gen!C15</f>
        <v>2.5999999999999999E-2</v>
      </c>
      <c r="D9" s="433">
        <f t="shared" si="2"/>
        <v>2.0019999999999998</v>
      </c>
      <c r="E9" s="75"/>
      <c r="F9" s="71">
        <f>Gen!V15</f>
        <v>0.4077842003853564</v>
      </c>
      <c r="G9" s="86">
        <f>Gen!U15</f>
        <v>2595</v>
      </c>
      <c r="H9" s="86">
        <f>[1]Gen!AJ10</f>
        <v>0</v>
      </c>
      <c r="I9" s="86">
        <f t="shared" si="0"/>
        <v>2595</v>
      </c>
      <c r="J9" s="86">
        <f>[1]Gen!AT15</f>
        <v>37525.210000000021</v>
      </c>
      <c r="K9" s="70">
        <f>'Water-Meter'!E10</f>
        <v>58</v>
      </c>
      <c r="L9" s="447">
        <f>'Lpg (2)'!G14</f>
        <v>59.972000000020493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5734560.75</v>
      </c>
      <c r="R9" s="77">
        <f t="shared" si="3"/>
        <v>1808.3434084854541</v>
      </c>
      <c r="S9" s="437" t="e">
        <f t="shared" si="4"/>
        <v>#DIV/0!</v>
      </c>
      <c r="T9" s="77">
        <f t="shared" si="5"/>
        <v>3.7348484848484849</v>
      </c>
      <c r="U9" s="123">
        <f t="shared" si="6"/>
        <v>74.321361111136511</v>
      </c>
      <c r="V9" s="18">
        <f t="shared" si="7"/>
        <v>5734638.8062095959</v>
      </c>
      <c r="W9" s="125" t="e">
        <f>SUM(V9/E9)/T2</f>
        <v>#DIV/0!</v>
      </c>
      <c r="X9">
        <f t="shared" si="9"/>
        <v>1584</v>
      </c>
      <c r="Y9" s="438">
        <v>106</v>
      </c>
      <c r="Z9" s="80" t="e">
        <f t="shared" si="8"/>
        <v>#DIV/0!</v>
      </c>
    </row>
    <row r="10" spans="1:27" x14ac:dyDescent="0.2">
      <c r="A10" s="54">
        <f>Gen!B16</f>
        <v>44141</v>
      </c>
      <c r="B10" s="83">
        <v>0</v>
      </c>
      <c r="C10" s="88">
        <f>Gen!C16</f>
        <v>6.4899999999999999E-2</v>
      </c>
      <c r="D10" s="433">
        <f t="shared" si="2"/>
        <v>4.9973000000000001</v>
      </c>
      <c r="E10" s="75"/>
      <c r="F10" s="71">
        <f>Gen!V16</f>
        <v>0.44646820027063594</v>
      </c>
      <c r="G10" s="86">
        <f>Gen!U16</f>
        <v>2217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62</v>
      </c>
      <c r="L10" s="447">
        <f>'Lpg (2)'!G15</f>
        <v>52.97600000003586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37" t="e">
        <f t="shared" si="4"/>
        <v>#REF!</v>
      </c>
      <c r="T10" s="77">
        <f t="shared" si="5"/>
        <v>3.9924242424242422</v>
      </c>
      <c r="U10" s="123">
        <f t="shared" si="6"/>
        <v>65.651444444488888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38">
        <v>106</v>
      </c>
      <c r="Z10" s="80" t="e">
        <f t="shared" si="8"/>
        <v>#REF!</v>
      </c>
    </row>
    <row r="11" spans="1:27" x14ac:dyDescent="0.2">
      <c r="A11" s="54">
        <f>Gen!B17</f>
        <v>44142</v>
      </c>
      <c r="B11" s="83">
        <v>0</v>
      </c>
      <c r="C11" s="88">
        <f>Gen!C17</f>
        <v>5.1900000000000002E-2</v>
      </c>
      <c r="D11" s="433">
        <f t="shared" si="2"/>
        <v>3.9963000000000002</v>
      </c>
      <c r="E11" s="75"/>
      <c r="F11" s="71">
        <f>Gen!V17</f>
        <v>0.38424768051633723</v>
      </c>
      <c r="G11" s="86">
        <f>Gen!U17</f>
        <v>2479</v>
      </c>
      <c r="H11" s="86">
        <f>[1]Gen!AJ25</f>
        <v>80.56</v>
      </c>
      <c r="I11" s="86">
        <f t="shared" si="0"/>
        <v>2559.56</v>
      </c>
      <c r="J11" s="86">
        <f>[1]Gen!AT17</f>
        <v>47513.140000000029</v>
      </c>
      <c r="K11" s="70">
        <f>'Water-Meter'!E12</f>
        <v>83</v>
      </c>
      <c r="L11" s="447">
        <f>'Lpg (2)'!G16</f>
        <v>75.679999999987203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5656243.6659999993</v>
      </c>
      <c r="R11" s="77">
        <f t="shared" si="3"/>
        <v>893.54175118297542</v>
      </c>
      <c r="S11" s="437" t="e">
        <f t="shared" si="4"/>
        <v>#DIV/0!</v>
      </c>
      <c r="T11" s="77">
        <f t="shared" si="5"/>
        <v>5.3446969696969697</v>
      </c>
      <c r="U11" s="123">
        <f t="shared" si="6"/>
        <v>93.787777777761917</v>
      </c>
      <c r="V11" s="18">
        <f t="shared" si="7"/>
        <v>5656342.7984747468</v>
      </c>
      <c r="W11" s="125" t="e">
        <f>SUM(V11/E11)/T2</f>
        <v>#DIV/0!</v>
      </c>
      <c r="X11">
        <f t="shared" si="9"/>
        <v>1584</v>
      </c>
      <c r="Y11" s="438">
        <v>106</v>
      </c>
      <c r="Z11" s="80" t="e">
        <f t="shared" si="8"/>
        <v>#DIV/0!</v>
      </c>
    </row>
    <row r="12" spans="1:27" x14ac:dyDescent="0.2">
      <c r="A12" s="54">
        <f>Gen!B18</f>
        <v>44143</v>
      </c>
      <c r="B12" s="83">
        <v>0</v>
      </c>
      <c r="C12" s="88">
        <f>Gen!C18</f>
        <v>0</v>
      </c>
      <c r="D12" s="433">
        <f t="shared" si="2"/>
        <v>0</v>
      </c>
      <c r="E12" s="75"/>
      <c r="F12" s="71">
        <f>Gen!V18</f>
        <v>0.4376591200341734</v>
      </c>
      <c r="G12" s="86">
        <f>Gen!U18</f>
        <v>2341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63</v>
      </c>
      <c r="L12" s="447">
        <f>'Lpg (2)'!G17</f>
        <v>51.7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37" t="e">
        <f t="shared" si="4"/>
        <v>#REF!</v>
      </c>
      <c r="T12" s="77">
        <f t="shared" si="5"/>
        <v>4.0568181818181817</v>
      </c>
      <c r="U12" s="123">
        <f t="shared" si="6"/>
        <v>64.070138888888891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38">
        <v>106</v>
      </c>
      <c r="Z12" s="80" t="e">
        <f t="shared" si="8"/>
        <v>#REF!</v>
      </c>
    </row>
    <row r="13" spans="1:27" x14ac:dyDescent="0.2">
      <c r="A13" s="54">
        <f>Gen!B19</f>
        <v>44144</v>
      </c>
      <c r="B13" s="83">
        <v>0</v>
      </c>
      <c r="C13" s="88">
        <f>Gen!C19</f>
        <v>1.2999999999999999E-2</v>
      </c>
      <c r="D13" s="433">
        <f t="shared" si="2"/>
        <v>1.0009999999999999</v>
      </c>
      <c r="E13" s="75"/>
      <c r="F13" s="71">
        <f>Gen!V19</f>
        <v>0.44400423728813554</v>
      </c>
      <c r="G13" s="86">
        <f>Gen!U19</f>
        <v>2360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46</v>
      </c>
      <c r="L13" s="447">
        <f>'Lpg (2)'!G18</f>
        <v>53.591999999969268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37" t="e">
        <f t="shared" si="4"/>
        <v>#REF!</v>
      </c>
      <c r="T13" s="77">
        <f t="shared" si="5"/>
        <v>2.9621212121212119</v>
      </c>
      <c r="U13" s="123">
        <f t="shared" si="6"/>
        <v>66.414833333295249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38">
        <v>106</v>
      </c>
      <c r="Z13" s="80" t="e">
        <f t="shared" si="8"/>
        <v>#REF!</v>
      </c>
    </row>
    <row r="14" spans="1:27" x14ac:dyDescent="0.2">
      <c r="A14" s="54">
        <f>Gen!B20</f>
        <v>44145</v>
      </c>
      <c r="B14" s="83">
        <v>0</v>
      </c>
      <c r="C14" s="88">
        <f>Gen!C20</f>
        <v>3.9E-2</v>
      </c>
      <c r="D14" s="433">
        <f t="shared" si="2"/>
        <v>3.0030000000000001</v>
      </c>
      <c r="E14" s="75"/>
      <c r="F14" s="71">
        <f>Gen!V20</f>
        <v>0.40174343521308653</v>
      </c>
      <c r="G14" s="86">
        <f>Gen!U20</f>
        <v>2323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53</v>
      </c>
      <c r="L14" s="447">
        <f>'Lpg (2)'!G19</f>
        <v>23.540000000025614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37" t="e">
        <f t="shared" si="4"/>
        <v>#REF!</v>
      </c>
      <c r="T14" s="77">
        <f t="shared" si="5"/>
        <v>3.4128787878787881</v>
      </c>
      <c r="U14" s="123">
        <f t="shared" si="6"/>
        <v>29.172361111142855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38">
        <v>106</v>
      </c>
      <c r="Z14" s="80" t="e">
        <f t="shared" si="8"/>
        <v>#REF!</v>
      </c>
    </row>
    <row r="15" spans="1:27" x14ac:dyDescent="0.2">
      <c r="A15" s="54">
        <f>Gen!B21</f>
        <v>44146</v>
      </c>
      <c r="B15" s="83">
        <v>0</v>
      </c>
      <c r="C15" s="88">
        <f>Gen!C21</f>
        <v>6.4899999999999999E-2</v>
      </c>
      <c r="D15" s="433">
        <f t="shared" si="2"/>
        <v>4.9973000000000001</v>
      </c>
      <c r="E15" s="75"/>
      <c r="F15" s="71">
        <f>Gen!V21</f>
        <v>0.41271572492334646</v>
      </c>
      <c r="G15" s="86">
        <f>Gen!U21</f>
        <v>2283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63</v>
      </c>
      <c r="L15" s="447">
        <f>'Lpg (2)'!G20</f>
        <v>75.327999999979511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37" t="e">
        <f t="shared" si="4"/>
        <v>#REF!</v>
      </c>
      <c r="T15" s="77">
        <f t="shared" si="5"/>
        <v>4.0568181818181817</v>
      </c>
      <c r="U15" s="123">
        <f t="shared" si="6"/>
        <v>93.351555555530169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38">
        <v>106</v>
      </c>
      <c r="Z15" s="80" t="e">
        <f t="shared" si="8"/>
        <v>#REF!</v>
      </c>
    </row>
    <row r="16" spans="1:27" x14ac:dyDescent="0.2">
      <c r="A16" s="54">
        <f>Gen!B22</f>
        <v>44147</v>
      </c>
      <c r="B16" s="83">
        <v>0</v>
      </c>
      <c r="C16" s="88">
        <f>Gen!C22</f>
        <v>0.05</v>
      </c>
      <c r="D16" s="433">
        <f t="shared" si="2"/>
        <v>3.85</v>
      </c>
      <c r="E16" s="75"/>
      <c r="F16" s="71">
        <f>Gen!V22</f>
        <v>0.46518900343642611</v>
      </c>
      <c r="G16" s="86">
        <f>Gen!U22</f>
        <v>2328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48</v>
      </c>
      <c r="L16" s="447">
        <f>'Lpg (2)'!G21</f>
        <v>54.163999999989763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37" t="e">
        <f t="shared" si="4"/>
        <v>#REF!</v>
      </c>
      <c r="T16" s="77">
        <f t="shared" si="5"/>
        <v>3.0909090909090908</v>
      </c>
      <c r="U16" s="123">
        <f t="shared" si="6"/>
        <v>67.123694444431763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38">
        <v>106</v>
      </c>
      <c r="Z16" s="80" t="e">
        <f t="shared" si="8"/>
        <v>#REF!</v>
      </c>
    </row>
    <row r="17" spans="1:26" x14ac:dyDescent="0.2">
      <c r="A17" s="54">
        <f>Gen!B23</f>
        <v>44148</v>
      </c>
      <c r="B17" s="83">
        <v>0</v>
      </c>
      <c r="C17" s="88">
        <f>Gen!C23</f>
        <v>5.1900000000000002E-2</v>
      </c>
      <c r="D17" s="433">
        <f t="shared" si="2"/>
        <v>3.9963000000000002</v>
      </c>
      <c r="E17" s="75"/>
      <c r="F17" s="71">
        <f>Gen!V23</f>
        <v>0.40613463166807789</v>
      </c>
      <c r="G17" s="86">
        <f>Gen!U23</f>
        <v>2362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62</v>
      </c>
      <c r="L17" s="447">
        <f>'Lpg (2)'!G22</f>
        <v>68.508000000030734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37" t="e">
        <f t="shared" si="4"/>
        <v>#REF!</v>
      </c>
      <c r="T17" s="77">
        <f t="shared" si="5"/>
        <v>3.9924242424242422</v>
      </c>
      <c r="U17" s="123">
        <f t="shared" si="6"/>
        <v>84.899750000038082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38">
        <v>106</v>
      </c>
      <c r="Z17" s="80" t="e">
        <f t="shared" si="8"/>
        <v>#REF!</v>
      </c>
    </row>
    <row r="18" spans="1:26" x14ac:dyDescent="0.2">
      <c r="A18" s="54">
        <f>Gen!B24</f>
        <v>44149</v>
      </c>
      <c r="B18" s="83">
        <v>0</v>
      </c>
      <c r="C18" s="88">
        <f>Gen!C24</f>
        <v>0.18179999999999999</v>
      </c>
      <c r="D18" s="433">
        <f t="shared" si="2"/>
        <v>13.9986</v>
      </c>
      <c r="E18" s="75"/>
      <c r="F18" s="71">
        <f>Gen!V24</f>
        <v>0.40457563025210086</v>
      </c>
      <c r="G18" s="86">
        <f>Gen!U24</f>
        <v>2380</v>
      </c>
      <c r="H18" s="86">
        <f>[1]Gen!AJ27</f>
        <v>597.9</v>
      </c>
      <c r="I18" s="86">
        <f t="shared" si="0"/>
        <v>2977.9</v>
      </c>
      <c r="J18" s="86">
        <f>[1]Gen!AT24</f>
        <v>29915.45000000003</v>
      </c>
      <c r="K18" s="70">
        <f>'Water-Meter'!E19</f>
        <v>52</v>
      </c>
      <c r="L18" s="447">
        <f>'Lpg (2)'!G23</f>
        <v>69.343999999976958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6580712.3149999995</v>
      </c>
      <c r="R18" s="77">
        <f t="shared" si="3"/>
        <v>296.77897060088401</v>
      </c>
      <c r="S18" s="437" t="e">
        <f t="shared" si="4"/>
        <v>#DIV/0!</v>
      </c>
      <c r="T18" s="77">
        <f t="shared" si="5"/>
        <v>3.3484848484848486</v>
      </c>
      <c r="U18" s="123">
        <f t="shared" si="6"/>
        <v>85.935777777749223</v>
      </c>
      <c r="V18" s="18">
        <f t="shared" si="7"/>
        <v>6580801.5992626259</v>
      </c>
      <c r="W18" s="125" t="e">
        <f>SUM(V18/E18)/T2</f>
        <v>#DIV/0!</v>
      </c>
      <c r="X18">
        <f t="shared" si="9"/>
        <v>1584</v>
      </c>
      <c r="Y18" s="438">
        <v>106</v>
      </c>
      <c r="Z18" s="80" t="e">
        <f t="shared" si="8"/>
        <v>#DIV/0!</v>
      </c>
    </row>
    <row r="19" spans="1:26" x14ac:dyDescent="0.2">
      <c r="A19" s="54">
        <f>Gen!B25</f>
        <v>44150</v>
      </c>
      <c r="B19" s="83">
        <v>0</v>
      </c>
      <c r="C19" s="88">
        <f>Gen!C25</f>
        <v>0.1429</v>
      </c>
      <c r="D19" s="433">
        <f t="shared" si="2"/>
        <v>11.003299999999999</v>
      </c>
      <c r="E19" s="75"/>
      <c r="F19" s="71">
        <f>Gen!V25</f>
        <v>0.4514634146341463</v>
      </c>
      <c r="G19" s="86">
        <f>Gen!U25</f>
        <v>2337</v>
      </c>
      <c r="H19" s="86">
        <f>[1]Gen!AJ28</f>
        <v>227.73000000000002</v>
      </c>
      <c r="I19" s="86">
        <f t="shared" si="0"/>
        <v>2564.73</v>
      </c>
      <c r="J19" s="86">
        <f>[1]Gen!AT25</f>
        <v>42248.240000000034</v>
      </c>
      <c r="K19" s="70">
        <f>'Water-Meter'!E20</f>
        <v>78</v>
      </c>
      <c r="L19" s="447">
        <f>'Lpg (2)'!G24</f>
        <v>95.392000000033306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5667668.5904999999</v>
      </c>
      <c r="R19" s="77">
        <f t="shared" si="3"/>
        <v>325.181864087468</v>
      </c>
      <c r="S19" s="437" t="e">
        <f t="shared" si="4"/>
        <v>#DIV/0!</v>
      </c>
      <c r="T19" s="77">
        <f t="shared" si="5"/>
        <v>5.0227272727272725</v>
      </c>
      <c r="U19" s="123">
        <f t="shared" si="6"/>
        <v>118.2162222222635</v>
      </c>
      <c r="V19" s="18">
        <f t="shared" si="7"/>
        <v>5667791.8294494944</v>
      </c>
      <c r="W19" s="77" t="e">
        <f>SUM(V19/E19)/T2</f>
        <v>#DIV/0!</v>
      </c>
      <c r="X19">
        <f t="shared" si="9"/>
        <v>1584</v>
      </c>
      <c r="Y19" s="438">
        <v>106</v>
      </c>
      <c r="Z19" s="80" t="e">
        <f t="shared" si="8"/>
        <v>#DIV/0!</v>
      </c>
    </row>
    <row r="20" spans="1:26" x14ac:dyDescent="0.2">
      <c r="A20" s="54">
        <f>Gen!B26</f>
        <v>44151</v>
      </c>
      <c r="B20" s="83">
        <v>0</v>
      </c>
      <c r="C20" s="88">
        <f>Gen!C26</f>
        <v>0.12989999999999999</v>
      </c>
      <c r="D20" s="433">
        <f t="shared" si="2"/>
        <v>10.002299999999998</v>
      </c>
      <c r="E20" s="75"/>
      <c r="F20" s="71">
        <f>Gen!V26</f>
        <v>0.45771880064829823</v>
      </c>
      <c r="G20" s="86">
        <f>Gen!U26</f>
        <v>2468</v>
      </c>
      <c r="H20" s="86">
        <f>[1]Gen!AJ29</f>
        <v>88.289999999999992</v>
      </c>
      <c r="I20" s="86">
        <f t="shared" si="0"/>
        <v>2556.29</v>
      </c>
      <c r="J20" s="86">
        <f>[1]Gen!AT26</f>
        <v>39497.370000000032</v>
      </c>
      <c r="K20" s="70">
        <f>'Water-Meter'!E21</f>
        <v>52</v>
      </c>
      <c r="L20" s="447">
        <f>'Lpg (2)'!G25</f>
        <v>82.763999999989764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5649017.4564999994</v>
      </c>
      <c r="R20" s="77">
        <f t="shared" si="3"/>
        <v>356.54788391725464</v>
      </c>
      <c r="S20" s="437" t="e">
        <f t="shared" si="4"/>
        <v>#DIV/0!</v>
      </c>
      <c r="T20" s="77">
        <f t="shared" si="5"/>
        <v>3.3484848484848486</v>
      </c>
      <c r="U20" s="123">
        <f t="shared" si="6"/>
        <v>102.56674999998731</v>
      </c>
      <c r="V20" s="18">
        <f t="shared" si="7"/>
        <v>5649123.3717348482</v>
      </c>
      <c r="W20" s="77" t="e">
        <f>SUM(V20/E20)/T2</f>
        <v>#DIV/0!</v>
      </c>
      <c r="X20">
        <f t="shared" si="9"/>
        <v>1584</v>
      </c>
      <c r="Y20" s="438">
        <v>106</v>
      </c>
      <c r="Z20" s="80" t="e">
        <f t="shared" si="8"/>
        <v>#DIV/0!</v>
      </c>
    </row>
    <row r="21" spans="1:26" x14ac:dyDescent="0.2">
      <c r="A21" s="54">
        <f>Gen!B27</f>
        <v>44152</v>
      </c>
      <c r="B21" s="83">
        <v>0</v>
      </c>
      <c r="C21" s="88">
        <f>Gen!C27</f>
        <v>0.03</v>
      </c>
      <c r="D21" s="433">
        <f t="shared" si="2"/>
        <v>2.31</v>
      </c>
      <c r="E21" s="75"/>
      <c r="F21" s="71">
        <f>Gen!V27</f>
        <v>0.40996469549867609</v>
      </c>
      <c r="G21" s="86">
        <f>Gen!U27</f>
        <v>2266</v>
      </c>
      <c r="H21" s="86">
        <f>[1]Gen!AJ30</f>
        <v>783.92</v>
      </c>
      <c r="I21" s="86">
        <f t="shared" si="0"/>
        <v>3049.92</v>
      </c>
      <c r="J21" s="86">
        <f>[1]Gen!AT27</f>
        <v>36688.350000000035</v>
      </c>
      <c r="K21" s="70">
        <f>'Water-Meter'!E22</f>
        <v>53</v>
      </c>
      <c r="L21" s="447">
        <f>'Lpg (2)'!G26</f>
        <v>77.572000000020495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6739865.7120000003</v>
      </c>
      <c r="R21" s="77">
        <f t="shared" si="3"/>
        <v>1841.976505312869</v>
      </c>
      <c r="S21" s="437" t="e">
        <f t="shared" si="4"/>
        <v>#DIV/0!</v>
      </c>
      <c r="T21" s="77">
        <f t="shared" si="5"/>
        <v>3.4128787878787881</v>
      </c>
      <c r="U21" s="123">
        <f t="shared" si="6"/>
        <v>96.132472222247614</v>
      </c>
      <c r="V21" s="18">
        <f t="shared" si="7"/>
        <v>6739965.257351011</v>
      </c>
      <c r="W21" s="77" t="e">
        <f>SUM(V21/E21)/T2</f>
        <v>#DIV/0!</v>
      </c>
      <c r="X21">
        <f t="shared" si="9"/>
        <v>1584</v>
      </c>
      <c r="Y21" s="438">
        <v>106</v>
      </c>
      <c r="Z21" s="80" t="e">
        <f t="shared" si="8"/>
        <v>#DIV/0!</v>
      </c>
    </row>
    <row r="22" spans="1:26" x14ac:dyDescent="0.2">
      <c r="A22" s="54">
        <f>Gen!B28</f>
        <v>44153</v>
      </c>
      <c r="B22" s="83">
        <v>0</v>
      </c>
      <c r="C22" s="88">
        <f>Gen!C28</f>
        <v>0.104</v>
      </c>
      <c r="D22" s="433">
        <f t="shared" si="2"/>
        <v>8.0079999999999991</v>
      </c>
      <c r="E22" s="75"/>
      <c r="F22" s="71">
        <f>Gen!V28</f>
        <v>0.41586321934945786</v>
      </c>
      <c r="G22" s="86">
        <f>Gen!U28</f>
        <v>2398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51</v>
      </c>
      <c r="L22" s="447">
        <f>'Lpg (2)'!G27</f>
        <v>75.283999999938544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37" t="e">
        <f t="shared" si="4"/>
        <v>#REF!</v>
      </c>
      <c r="T22" s="77">
        <f t="shared" si="5"/>
        <v>3.2840909090909092</v>
      </c>
      <c r="U22" s="123">
        <f t="shared" si="6"/>
        <v>93.297027777701615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38">
        <v>106</v>
      </c>
      <c r="Z22" s="80" t="e">
        <f t="shared" si="8"/>
        <v>#REF!</v>
      </c>
    </row>
    <row r="23" spans="1:26" x14ac:dyDescent="0.2">
      <c r="A23" s="54">
        <f>Gen!B29</f>
        <v>44154</v>
      </c>
      <c r="B23" s="83">
        <v>0</v>
      </c>
      <c r="C23" s="88">
        <f>Gen!C29</f>
        <v>5.1999999999999998E-2</v>
      </c>
      <c r="D23" s="433">
        <f t="shared" si="2"/>
        <v>4.0039999999999996</v>
      </c>
      <c r="E23" s="75"/>
      <c r="F23" s="71">
        <f>Gen!V29</f>
        <v>0.40265558562040976</v>
      </c>
      <c r="G23" s="86">
        <f>Gen!U29</f>
        <v>2587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127</v>
      </c>
      <c r="L23" s="447">
        <f>'Lpg (2)'!G28</f>
        <v>73.524000000028181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37" t="e">
        <f t="shared" si="4"/>
        <v>#REF!</v>
      </c>
      <c r="T23" s="77">
        <f t="shared" si="5"/>
        <v>8.1780303030303028</v>
      </c>
      <c r="U23" s="123">
        <f t="shared" si="6"/>
        <v>91.115916666701594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38">
        <v>106</v>
      </c>
      <c r="Z23" s="80" t="e">
        <f t="shared" si="8"/>
        <v>#REF!</v>
      </c>
    </row>
    <row r="24" spans="1:26" x14ac:dyDescent="0.2">
      <c r="A24" s="54">
        <f>Gen!B30</f>
        <v>44155</v>
      </c>
      <c r="B24" s="83">
        <v>0</v>
      </c>
      <c r="C24" s="88">
        <f>Gen!C30</f>
        <v>5.1999999999999998E-2</v>
      </c>
      <c r="D24" s="433">
        <f t="shared" si="2"/>
        <v>4.0039999999999996</v>
      </c>
      <c r="E24" s="75"/>
      <c r="F24" s="71">
        <f>Gen!V30</f>
        <v>0.38775462962962964</v>
      </c>
      <c r="G24" s="86">
        <f>Gen!U30</f>
        <v>2592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46</v>
      </c>
      <c r="L24" s="447">
        <f>'Lpg (2)'!G29</f>
        <v>99.175999999971836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37" t="e">
        <f t="shared" si="4"/>
        <v>#REF!</v>
      </c>
      <c r="T24" s="77">
        <f t="shared" si="5"/>
        <v>2.9621212121212119</v>
      </c>
      <c r="U24" s="123">
        <f t="shared" si="6"/>
        <v>122.90561111107621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38">
        <v>106</v>
      </c>
      <c r="Z24" s="80" t="e">
        <f t="shared" si="8"/>
        <v>#REF!</v>
      </c>
    </row>
    <row r="25" spans="1:26" x14ac:dyDescent="0.2">
      <c r="A25" s="54">
        <f>Gen!B31</f>
        <v>44156</v>
      </c>
      <c r="B25" s="83">
        <v>0</v>
      </c>
      <c r="C25" s="88">
        <f>Gen!C31</f>
        <v>6.5000000000000002E-2</v>
      </c>
      <c r="D25" s="433">
        <f t="shared" si="2"/>
        <v>5.0049999999999999</v>
      </c>
      <c r="E25" s="75"/>
      <c r="F25" s="71">
        <f>Gen!V31</f>
        <v>0.41355780022446692</v>
      </c>
      <c r="G25" s="86">
        <f>Gen!U31</f>
        <v>2673</v>
      </c>
      <c r="H25" s="86">
        <f>[1]Gen!AJ31</f>
        <v>172.05</v>
      </c>
      <c r="I25" s="86">
        <f t="shared" si="0"/>
        <v>2845.05</v>
      </c>
      <c r="J25" s="86">
        <f>[1]Gen!AT31</f>
        <v>41422.370000000032</v>
      </c>
      <c r="K25" s="70">
        <f>'Water-Meter'!E26</f>
        <v>47</v>
      </c>
      <c r="L25" s="447">
        <f>'Lpg (2)'!G30</f>
        <v>85.360000000038426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6287133.7424999997</v>
      </c>
      <c r="R25" s="77">
        <f t="shared" si="3"/>
        <v>793.03698101141276</v>
      </c>
      <c r="S25" s="437" t="e">
        <f t="shared" si="4"/>
        <v>#DIV/0!</v>
      </c>
      <c r="T25" s="77">
        <f t="shared" si="5"/>
        <v>3.0265151515151514</v>
      </c>
      <c r="U25" s="123">
        <f t="shared" si="6"/>
        <v>105.7838888889365</v>
      </c>
      <c r="V25" s="18">
        <f t="shared" si="7"/>
        <v>6287242.5529040396</v>
      </c>
      <c r="W25" s="77" t="e">
        <f>SUM(V25/E25)/T2</f>
        <v>#DIV/0!</v>
      </c>
      <c r="X25">
        <f t="shared" si="9"/>
        <v>1584</v>
      </c>
      <c r="Y25" s="438">
        <v>106</v>
      </c>
      <c r="Z25" s="80" t="e">
        <f t="shared" si="8"/>
        <v>#DIV/0!</v>
      </c>
    </row>
    <row r="26" spans="1:26" x14ac:dyDescent="0.2">
      <c r="A26" s="54">
        <f>Gen!B32</f>
        <v>44157</v>
      </c>
      <c r="B26" s="83">
        <v>0</v>
      </c>
      <c r="C26" s="88">
        <f>Gen!C32</f>
        <v>0.1</v>
      </c>
      <c r="D26" s="433">
        <f t="shared" si="2"/>
        <v>7.7</v>
      </c>
      <c r="E26" s="75"/>
      <c r="F26" s="71">
        <f>Gen!V32</f>
        <v>0.40388394584139264</v>
      </c>
      <c r="G26" s="86">
        <f>Gen!U32</f>
        <v>2585</v>
      </c>
      <c r="H26" s="86">
        <f>[1]Gen!AJ32</f>
        <v>18.63</v>
      </c>
      <c r="I26" s="86">
        <f t="shared" si="0"/>
        <v>2603.63</v>
      </c>
      <c r="J26" s="86">
        <f>[1]Gen!AT32</f>
        <v>38988.160000000033</v>
      </c>
      <c r="K26" s="70">
        <f>'Water-Meter'!E27</f>
        <v>51</v>
      </c>
      <c r="L26" s="447">
        <f>'Lpg (2)'!G31</f>
        <v>86.547999999992328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5753631.7555</v>
      </c>
      <c r="R26" s="77">
        <f t="shared" si="3"/>
        <v>471.73289350485373</v>
      </c>
      <c r="S26" s="437" t="e">
        <f t="shared" si="4"/>
        <v>#DIV/0!</v>
      </c>
      <c r="T26" s="77">
        <f t="shared" si="5"/>
        <v>3.2840909090909092</v>
      </c>
      <c r="U26" s="123">
        <f t="shared" si="6"/>
        <v>107.25613888887938</v>
      </c>
      <c r="V26" s="18">
        <f t="shared" si="7"/>
        <v>5753742.2957297983</v>
      </c>
      <c r="W26" s="77" t="e">
        <f>SUM(V26/E26)/T2</f>
        <v>#DIV/0!</v>
      </c>
      <c r="X26">
        <f t="shared" si="9"/>
        <v>1584</v>
      </c>
      <c r="Y26" s="438">
        <v>106</v>
      </c>
      <c r="Z26" s="80" t="e">
        <f t="shared" si="8"/>
        <v>#DIV/0!</v>
      </c>
    </row>
    <row r="27" spans="1:26" x14ac:dyDescent="0.2">
      <c r="A27" s="54">
        <f>Gen!B33</f>
        <v>44158</v>
      </c>
      <c r="B27" s="83">
        <v>0</v>
      </c>
      <c r="C27" s="88">
        <f>Gen!C33</f>
        <v>6.5000000000000002E-2</v>
      </c>
      <c r="D27" s="433">
        <f t="shared" si="2"/>
        <v>5.0049999999999999</v>
      </c>
      <c r="E27" s="75"/>
      <c r="F27" s="71">
        <f>Gen!V33</f>
        <v>0.41547738693467334</v>
      </c>
      <c r="G27" s="86">
        <f>Gen!U33</f>
        <v>2587</v>
      </c>
      <c r="H27" s="86">
        <f>[1]Gen!AJ33</f>
        <v>311.34000000000003</v>
      </c>
      <c r="I27" s="86">
        <f t="shared" si="0"/>
        <v>2898.34</v>
      </c>
      <c r="J27" s="86">
        <f>[1]Gen!AT33</f>
        <v>36682.670000000035</v>
      </c>
      <c r="K27" s="70">
        <f>'Water-Meter'!E28</f>
        <v>61</v>
      </c>
      <c r="L27" s="447">
        <f>'Lpg (2)'!G32</f>
        <v>65.73600000001025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6404896.6490000002</v>
      </c>
      <c r="R27" s="77">
        <f t="shared" si="3"/>
        <v>807.8911806627716</v>
      </c>
      <c r="S27" s="437" t="e">
        <f t="shared" si="4"/>
        <v>#DIV/0!</v>
      </c>
      <c r="T27" s="77">
        <f t="shared" si="5"/>
        <v>3.9280303030303032</v>
      </c>
      <c r="U27" s="123">
        <f t="shared" si="6"/>
        <v>81.464500000012706</v>
      </c>
      <c r="V27" s="18">
        <f t="shared" si="7"/>
        <v>6404982.0415303027</v>
      </c>
      <c r="W27" s="77" t="e">
        <f>SUM(V27/E27)/T2</f>
        <v>#DIV/0!</v>
      </c>
      <c r="X27">
        <f t="shared" si="9"/>
        <v>1584</v>
      </c>
      <c r="Y27" s="438">
        <v>106</v>
      </c>
      <c r="Z27" s="80" t="e">
        <f t="shared" si="8"/>
        <v>#DIV/0!</v>
      </c>
    </row>
    <row r="28" spans="1:26" x14ac:dyDescent="0.2">
      <c r="A28" s="54">
        <f>Gen!B34</f>
        <v>44159</v>
      </c>
      <c r="B28" s="83">
        <v>0</v>
      </c>
      <c r="C28" s="88">
        <f>Gen!C34</f>
        <v>6.5000000000000002E-2</v>
      </c>
      <c r="D28" s="433">
        <f t="shared" si="2"/>
        <v>5.0049999999999999</v>
      </c>
      <c r="E28" s="75"/>
      <c r="F28" s="71">
        <f>Gen!V34</f>
        <v>0.42898569023569022</v>
      </c>
      <c r="G28" s="86">
        <f>Gen!U34</f>
        <v>2376</v>
      </c>
      <c r="H28" s="86">
        <f>[1]Gen!AJ34</f>
        <v>380.7</v>
      </c>
      <c r="I28" s="86">
        <f t="shared" si="0"/>
        <v>2756.7</v>
      </c>
      <c r="J28" s="86">
        <f>[1]Gen!AT34</f>
        <v>44223.030000000035</v>
      </c>
      <c r="K28" s="70">
        <f>'Water-Meter'!E29</f>
        <v>49</v>
      </c>
      <c r="L28" s="447">
        <f>'Lpg (2)'!G33</f>
        <v>64.107999999966708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6091893.4949999992</v>
      </c>
      <c r="R28" s="77">
        <f t="shared" si="3"/>
        <v>768.41006152937973</v>
      </c>
      <c r="S28" s="437" t="e">
        <f t="shared" si="4"/>
        <v>#DIV/0!</v>
      </c>
      <c r="T28" s="77">
        <f t="shared" si="5"/>
        <v>3.1553030303030303</v>
      </c>
      <c r="U28" s="123">
        <f t="shared" si="6"/>
        <v>79.44697222218096</v>
      </c>
      <c r="V28" s="18">
        <f t="shared" si="7"/>
        <v>6091976.0972752515</v>
      </c>
      <c r="W28" s="77" t="e">
        <f>SUM(V28/E28)/T2</f>
        <v>#DIV/0!</v>
      </c>
      <c r="X28">
        <f t="shared" si="9"/>
        <v>1584</v>
      </c>
      <c r="Y28" s="438">
        <v>106</v>
      </c>
      <c r="Z28" s="80" t="e">
        <f t="shared" si="8"/>
        <v>#DIV/0!</v>
      </c>
    </row>
    <row r="29" spans="1:26" x14ac:dyDescent="0.2">
      <c r="A29" s="54">
        <f>Gen!B35</f>
        <v>44160</v>
      </c>
      <c r="B29" s="83">
        <v>0</v>
      </c>
      <c r="C29" s="88">
        <f>Gen!C35</f>
        <v>3.9E-2</v>
      </c>
      <c r="D29" s="433">
        <f t="shared" si="2"/>
        <v>3.0030000000000001</v>
      </c>
      <c r="E29" s="75"/>
      <c r="F29" s="71">
        <f>Gen!V35</f>
        <v>0.43357838795394155</v>
      </c>
      <c r="G29" s="86">
        <f>Gen!U35</f>
        <v>2258</v>
      </c>
      <c r="H29" s="86">
        <f>[1]Gen!AJ35</f>
        <v>273.37</v>
      </c>
      <c r="I29" s="86">
        <f t="shared" si="0"/>
        <v>2531.37</v>
      </c>
      <c r="J29" s="86">
        <f>[1]Gen!AT35</f>
        <v>41629.060000000034</v>
      </c>
      <c r="K29" s="70">
        <f>'Water-Meter'!E30</f>
        <v>50</v>
      </c>
      <c r="L29" s="447">
        <f>'Lpg (2)'!G34</f>
        <v>80.344000000040978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5593947.9944999991</v>
      </c>
      <c r="R29" s="77">
        <f t="shared" si="3"/>
        <v>1176.0016066635383</v>
      </c>
      <c r="S29" s="437" t="e">
        <f t="shared" si="4"/>
        <v>#DIV/0!</v>
      </c>
      <c r="T29" s="77">
        <f t="shared" si="5"/>
        <v>3.2196969696969697</v>
      </c>
      <c r="U29" s="123">
        <f t="shared" si="6"/>
        <v>99.567722222273005</v>
      </c>
      <c r="V29" s="18">
        <f t="shared" si="7"/>
        <v>5594050.7819191907</v>
      </c>
      <c r="W29" s="77" t="e">
        <f>SUM(V29/E29)/T2</f>
        <v>#DIV/0!</v>
      </c>
      <c r="X29">
        <f t="shared" si="9"/>
        <v>1584</v>
      </c>
      <c r="Y29" s="438">
        <v>106</v>
      </c>
      <c r="Z29" s="80" t="e">
        <f t="shared" si="8"/>
        <v>#DIV/0!</v>
      </c>
    </row>
    <row r="30" spans="1:26" x14ac:dyDescent="0.2">
      <c r="A30" s="54">
        <f>Gen!B36</f>
        <v>44161</v>
      </c>
      <c r="B30" s="83">
        <v>0</v>
      </c>
      <c r="C30" s="88">
        <f>Gen!C36</f>
        <v>1.2999999999999999E-2</v>
      </c>
      <c r="D30" s="433">
        <f t="shared" si="2"/>
        <v>1.0009999999999999</v>
      </c>
      <c r="E30" s="75"/>
      <c r="F30" s="71">
        <f>Gen!V36</f>
        <v>0.4116008869179601</v>
      </c>
      <c r="G30" s="86">
        <f>Gen!U36</f>
        <v>2255</v>
      </c>
      <c r="H30" s="86">
        <f>[1]Gen!AJ36</f>
        <v>396.56</v>
      </c>
      <c r="I30" s="86">
        <f t="shared" si="0"/>
        <v>2651.56</v>
      </c>
      <c r="J30" s="86">
        <f>[1]Gen!AT36</f>
        <v>39251.170000000035</v>
      </c>
      <c r="K30" s="70">
        <f>'Water-Meter'!E31</f>
        <v>56</v>
      </c>
      <c r="L30" s="447">
        <f>'Lpg (2)'!G35</f>
        <v>78.71599999999745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5859549.8659999995</v>
      </c>
      <c r="R30" s="77">
        <f t="shared" si="3"/>
        <v>3695.5152587311677</v>
      </c>
      <c r="S30" s="437" t="e">
        <f t="shared" si="4"/>
        <v>#DIV/0!</v>
      </c>
      <c r="T30" s="77">
        <f t="shared" si="5"/>
        <v>3.606060606060606</v>
      </c>
      <c r="U30" s="123">
        <f t="shared" si="6"/>
        <v>97.550194444441289</v>
      </c>
      <c r="V30" s="18">
        <f t="shared" si="7"/>
        <v>5859651.02225505</v>
      </c>
      <c r="W30" s="77" t="e">
        <f>SUM(V30/E30)/T2</f>
        <v>#DIV/0!</v>
      </c>
      <c r="X30">
        <f t="shared" si="9"/>
        <v>1584</v>
      </c>
      <c r="Y30" s="438">
        <v>106</v>
      </c>
      <c r="Z30" s="80" t="e">
        <f t="shared" si="8"/>
        <v>#DIV/0!</v>
      </c>
    </row>
    <row r="31" spans="1:26" x14ac:dyDescent="0.2">
      <c r="A31" s="54">
        <f>Gen!B37</f>
        <v>44162</v>
      </c>
      <c r="B31" s="83">
        <v>0</v>
      </c>
      <c r="C31" s="88">
        <f>Gen!C37</f>
        <v>0.01</v>
      </c>
      <c r="D31" s="433">
        <f t="shared" si="2"/>
        <v>0.77</v>
      </c>
      <c r="E31" s="75"/>
      <c r="F31" s="71">
        <f>Gen!V37</f>
        <v>0.42654697286012527</v>
      </c>
      <c r="G31" s="86">
        <f>Gen!U37</f>
        <v>2395</v>
      </c>
      <c r="H31" s="86">
        <f>[1]Gen!AJ37</f>
        <v>280.63</v>
      </c>
      <c r="I31" s="86">
        <f t="shared" si="0"/>
        <v>2675.63</v>
      </c>
      <c r="J31" s="86">
        <f>[1]Gen!AT37</f>
        <v>36384.370000000032</v>
      </c>
      <c r="K31" s="70">
        <f>'Water-Meter'!E32</f>
        <v>47</v>
      </c>
      <c r="L31" s="447">
        <f>'Lpg (2)'!G36</f>
        <v>42.371999999956465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5912740.9555000002</v>
      </c>
      <c r="R31" s="77">
        <f t="shared" si="3"/>
        <v>4847.7805289092221</v>
      </c>
      <c r="S31" s="437" t="e">
        <f t="shared" si="4"/>
        <v>#DIV/0!</v>
      </c>
      <c r="T31" s="77">
        <f t="shared" si="5"/>
        <v>3.0265151515151514</v>
      </c>
      <c r="U31" s="123">
        <f t="shared" si="6"/>
        <v>52.510249999946048</v>
      </c>
      <c r="V31" s="18">
        <f t="shared" si="7"/>
        <v>5912796.4922651518</v>
      </c>
      <c r="W31" s="77" t="e">
        <f>SUM(V31/E31)/T2</f>
        <v>#DIV/0!</v>
      </c>
      <c r="X31">
        <f t="shared" si="9"/>
        <v>1584</v>
      </c>
      <c r="Y31" s="438">
        <v>106</v>
      </c>
      <c r="Z31" s="80" t="e">
        <f t="shared" si="8"/>
        <v>#DIV/0!</v>
      </c>
    </row>
    <row r="32" spans="1:26" x14ac:dyDescent="0.2">
      <c r="A32" s="54">
        <f>Gen!B38</f>
        <v>44163</v>
      </c>
      <c r="B32" s="83">
        <v>0</v>
      </c>
      <c r="C32" s="88">
        <f>Gen!C38</f>
        <v>2.5999999999999999E-2</v>
      </c>
      <c r="D32" s="433">
        <f t="shared" si="2"/>
        <v>2.0019999999999998</v>
      </c>
      <c r="E32" s="75"/>
      <c r="F32" s="71" t="e">
        <f>Gen!V38</f>
        <v>#DIV/0!</v>
      </c>
      <c r="G32" s="86">
        <f>Gen!U38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45</v>
      </c>
      <c r="L32" s="447">
        <f>'Lpg (2)'!G37</f>
        <v>67.71599999999745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>
        <f t="shared" si="3"/>
        <v>0</v>
      </c>
      <c r="S32" s="437" t="e">
        <f t="shared" si="4"/>
        <v>#DIV/0!</v>
      </c>
      <c r="T32" s="77">
        <f t="shared" si="5"/>
        <v>2.8977272727272729</v>
      </c>
      <c r="U32" s="123">
        <f t="shared" si="6"/>
        <v>83.918249999996846</v>
      </c>
      <c r="V32" s="18">
        <f t="shared" si="7"/>
        <v>86.815977272724112</v>
      </c>
      <c r="W32" s="77" t="e">
        <f>SUM(V32/E32)/T2</f>
        <v>#DIV/0!</v>
      </c>
      <c r="X32">
        <f t="shared" si="9"/>
        <v>1584</v>
      </c>
      <c r="Y32" s="438">
        <v>106</v>
      </c>
      <c r="Z32" s="80" t="e">
        <f t="shared" si="8"/>
        <v>#DIV/0!</v>
      </c>
    </row>
    <row r="33" spans="1:26" x14ac:dyDescent="0.2">
      <c r="A33" s="54">
        <f>Gen!B39</f>
        <v>44164</v>
      </c>
      <c r="B33" s="83">
        <v>0</v>
      </c>
      <c r="C33" s="88">
        <f>Gen!C39</f>
        <v>2.5999999999999999E-2</v>
      </c>
      <c r="D33" s="433">
        <f t="shared" si="2"/>
        <v>2.0019999999999998</v>
      </c>
      <c r="E33" s="75"/>
      <c r="F33" s="71">
        <f>Gen!V39</f>
        <v>0.42375000000000002</v>
      </c>
      <c r="G33" s="86">
        <f>Gen!U39</f>
        <v>2264</v>
      </c>
      <c r="H33" s="86">
        <f>[1]Gen!AJ39</f>
        <v>0</v>
      </c>
      <c r="I33" s="86">
        <f t="shared" si="0"/>
        <v>2264</v>
      </c>
      <c r="J33" s="86">
        <f>[1]Gen!AT39</f>
        <v>33780.000000000029</v>
      </c>
      <c r="K33" s="70">
        <f>'Water-Meter'!E34</f>
        <v>62</v>
      </c>
      <c r="L33" s="447">
        <f>'Lpg (2)'!G38</f>
        <v>28.996000000048664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5003100.3999999994</v>
      </c>
      <c r="R33" s="77">
        <f t="shared" si="3"/>
        <v>1577.6838060928969</v>
      </c>
      <c r="S33" s="437" t="e">
        <f t="shared" si="4"/>
        <v>#DIV/0!</v>
      </c>
      <c r="T33" s="77">
        <f t="shared" si="5"/>
        <v>3.9924242424242422</v>
      </c>
      <c r="U33" s="123">
        <f t="shared" si="6"/>
        <v>35.933805555615862</v>
      </c>
      <c r="V33" s="18">
        <f t="shared" si="7"/>
        <v>5003140.3262297977</v>
      </c>
      <c r="W33" s="77" t="e">
        <f>SUM(V33/E33)/T2</f>
        <v>#DIV/0!</v>
      </c>
      <c r="X33">
        <f t="shared" si="9"/>
        <v>1584</v>
      </c>
      <c r="Y33" s="438">
        <v>106</v>
      </c>
      <c r="Z33" s="80" t="e">
        <f t="shared" si="8"/>
        <v>#DIV/0!</v>
      </c>
    </row>
    <row r="34" spans="1:26" x14ac:dyDescent="0.2">
      <c r="A34" s="54">
        <f>Gen!B40</f>
        <v>44165</v>
      </c>
      <c r="B34" s="83">
        <v>0</v>
      </c>
      <c r="C34" s="88">
        <f>Gen!C40</f>
        <v>3.9E-2</v>
      </c>
      <c r="D34" s="433">
        <f t="shared" si="2"/>
        <v>3.0030000000000001</v>
      </c>
      <c r="E34" s="75"/>
      <c r="F34" s="71" t="e">
        <f>Gen!V40</f>
        <v>#DIV/0!</v>
      </c>
      <c r="G34" s="86">
        <f>Gen!U40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46</v>
      </c>
      <c r="L34" s="447">
        <f>'Lpg (2)'!G39</f>
        <v>67.847999999992325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>
        <f t="shared" si="3"/>
        <v>0</v>
      </c>
      <c r="S34" s="437" t="e">
        <f t="shared" si="4"/>
        <v>#DIV/0!</v>
      </c>
      <c r="T34" s="77">
        <f t="shared" si="5"/>
        <v>2.9621212121212119</v>
      </c>
      <c r="U34" s="123">
        <f t="shared" si="6"/>
        <v>84.081833333323829</v>
      </c>
      <c r="V34" s="18">
        <f t="shared" si="7"/>
        <v>87.043954545445047</v>
      </c>
      <c r="W34" s="77" t="e">
        <f>SUM(V34/E34)/T2</f>
        <v>#DIV/0!</v>
      </c>
      <c r="X34">
        <f t="shared" si="9"/>
        <v>1584</v>
      </c>
      <c r="Y34" s="438">
        <v>106</v>
      </c>
      <c r="Z34" s="80" t="e">
        <f t="shared" si="8"/>
        <v>#DIV/0!</v>
      </c>
    </row>
    <row r="35" spans="1:26" x14ac:dyDescent="0.2">
      <c r="A35" s="54">
        <f>Gen!B41</f>
        <v>44166</v>
      </c>
      <c r="B35" s="83">
        <v>0</v>
      </c>
      <c r="C35" s="88">
        <f>Gen!C41</f>
        <v>0</v>
      </c>
      <c r="D35" s="433">
        <f t="shared" si="2"/>
        <v>0</v>
      </c>
      <c r="E35" s="75"/>
      <c r="F35" s="71" t="e">
        <f>Gen!V41</f>
        <v>#DIV/0!</v>
      </c>
      <c r="G35" s="86">
        <f>Gen!U41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 t="str">
        <f>'Water-Meter'!E36</f>
        <v>0</v>
      </c>
      <c r="L35" s="447">
        <f>'Lpg (2)'!G40</f>
        <v>-323055.43600000005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37" t="e">
        <f t="shared" si="4"/>
        <v>#DIV/0!</v>
      </c>
      <c r="T35" s="77">
        <f t="shared" si="5"/>
        <v>0</v>
      </c>
      <c r="U35" s="123">
        <f t="shared" si="6"/>
        <v>-400352.1596388889</v>
      </c>
      <c r="V35" s="18">
        <f t="shared" si="7"/>
        <v>-400352.1596388889</v>
      </c>
      <c r="W35" s="77" t="e">
        <f>SUM(V35/E35)/T2</f>
        <v>#DIV/0!</v>
      </c>
      <c r="X35">
        <f t="shared" si="9"/>
        <v>1584</v>
      </c>
      <c r="Y35" s="438">
        <v>106</v>
      </c>
      <c r="Z35" s="80" t="e">
        <f t="shared" si="8"/>
        <v>#DIV/0!</v>
      </c>
    </row>
    <row r="36" spans="1:26" ht="13.5" thickBot="1" x14ac:dyDescent="0.25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 x14ac:dyDescent="0.2">
      <c r="K37" s="70">
        <f>'Water-Meter'!E38</f>
        <v>1744</v>
      </c>
      <c r="S37" s="80" t="e">
        <f>SUM(S5:S16)/[1]Gen!A47</f>
        <v>#REF!</v>
      </c>
    </row>
    <row r="38" spans="1:26" x14ac:dyDescent="0.2">
      <c r="B38" s="84" t="e">
        <f>SUM(B5:B37)/[1]Gen!A47</f>
        <v>#REF!</v>
      </c>
      <c r="M38">
        <f>0.5*2057.79</f>
        <v>1028.895</v>
      </c>
    </row>
    <row r="39" spans="1:26" x14ac:dyDescent="0.2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 x14ac:dyDescent="0.2">
      <c r="P40">
        <f>P39/K5</f>
        <v>2012.2666666666669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86"/>
  <sheetViews>
    <sheetView topLeftCell="A49" workbookViewId="0">
      <selection activeCell="J41" sqref="J41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85546875" customWidth="1"/>
    <col min="5" max="5" width="13" customWidth="1"/>
    <col min="6" max="6" width="12.7109375" bestFit="1" customWidth="1"/>
    <col min="7" max="7" width="12.42578125" customWidth="1"/>
  </cols>
  <sheetData>
    <row r="1" spans="1:7" ht="21" thickBot="1" x14ac:dyDescent="0.35">
      <c r="A1" s="979" t="s">
        <v>180</v>
      </c>
      <c r="B1" s="980"/>
      <c r="C1" s="980"/>
      <c r="D1" s="980"/>
      <c r="E1" s="980"/>
      <c r="F1" s="980"/>
      <c r="G1" s="981"/>
    </row>
    <row r="2" spans="1:7" ht="16.5" thickBot="1" x14ac:dyDescent="0.3">
      <c r="A2" s="301"/>
      <c r="B2" s="982" t="s">
        <v>175</v>
      </c>
      <c r="C2" s="983"/>
      <c r="D2" s="984"/>
      <c r="E2" s="982" t="s">
        <v>176</v>
      </c>
      <c r="F2" s="983"/>
      <c r="G2" s="984"/>
    </row>
    <row r="3" spans="1:7" ht="40.5" customHeight="1" thickBot="1" x14ac:dyDescent="0.25">
      <c r="A3" s="839" t="s">
        <v>7</v>
      </c>
      <c r="B3" s="840" t="s">
        <v>177</v>
      </c>
      <c r="C3" s="840" t="s">
        <v>178</v>
      </c>
      <c r="D3" s="840" t="s">
        <v>179</v>
      </c>
      <c r="E3" s="840" t="s">
        <v>177</v>
      </c>
      <c r="F3" s="840" t="s">
        <v>178</v>
      </c>
      <c r="G3" s="841" t="s">
        <v>179</v>
      </c>
    </row>
    <row r="4" spans="1:7" x14ac:dyDescent="0.2">
      <c r="A4" s="842">
        <v>43101</v>
      </c>
      <c r="B4" s="843">
        <v>46071</v>
      </c>
      <c r="C4" s="404">
        <v>48188</v>
      </c>
      <c r="D4" s="844">
        <v>2117</v>
      </c>
      <c r="E4" s="845">
        <v>216654</v>
      </c>
      <c r="F4" s="846">
        <v>218779</v>
      </c>
      <c r="G4" s="847">
        <v>2125</v>
      </c>
    </row>
    <row r="5" spans="1:7" x14ac:dyDescent="0.2">
      <c r="A5" s="848">
        <v>43132</v>
      </c>
      <c r="B5" s="479">
        <f t="shared" ref="B5:B68" si="0">C4</f>
        <v>48188</v>
      </c>
      <c r="C5" s="243">
        <v>50066</v>
      </c>
      <c r="D5" s="319">
        <f t="shared" ref="D5:D68" si="1">C5-B5</f>
        <v>1878</v>
      </c>
      <c r="E5" s="320">
        <f t="shared" ref="E5:E68" si="2">F4</f>
        <v>218779</v>
      </c>
      <c r="F5" s="271">
        <v>220744</v>
      </c>
      <c r="G5" s="265">
        <f t="shared" ref="G5:G68" si="3">F5-E5</f>
        <v>1965</v>
      </c>
    </row>
    <row r="6" spans="1:7" x14ac:dyDescent="0.2">
      <c r="A6" s="848">
        <v>43160</v>
      </c>
      <c r="B6" s="479">
        <f t="shared" si="0"/>
        <v>50066</v>
      </c>
      <c r="C6" s="243">
        <v>51916</v>
      </c>
      <c r="D6" s="319">
        <f t="shared" si="1"/>
        <v>1850</v>
      </c>
      <c r="E6" s="320">
        <f t="shared" si="2"/>
        <v>220744</v>
      </c>
      <c r="F6" s="271">
        <v>222873</v>
      </c>
      <c r="G6" s="265">
        <f t="shared" si="3"/>
        <v>2129</v>
      </c>
    </row>
    <row r="7" spans="1:7" x14ac:dyDescent="0.2">
      <c r="A7" s="848">
        <v>43191</v>
      </c>
      <c r="B7" s="479">
        <f t="shared" si="0"/>
        <v>51916</v>
      </c>
      <c r="C7" s="243">
        <v>53641</v>
      </c>
      <c r="D7" s="319">
        <f t="shared" si="1"/>
        <v>1725</v>
      </c>
      <c r="E7" s="320">
        <f t="shared" si="2"/>
        <v>222873</v>
      </c>
      <c r="F7" s="271">
        <v>224922</v>
      </c>
      <c r="G7" s="265">
        <f t="shared" si="3"/>
        <v>2049</v>
      </c>
    </row>
    <row r="8" spans="1:7" x14ac:dyDescent="0.2">
      <c r="A8" s="848">
        <v>43221</v>
      </c>
      <c r="B8" s="479">
        <f t="shared" si="0"/>
        <v>53641</v>
      </c>
      <c r="C8" s="243">
        <v>55409</v>
      </c>
      <c r="D8" s="319">
        <f t="shared" si="1"/>
        <v>1768</v>
      </c>
      <c r="E8" s="320">
        <f t="shared" si="2"/>
        <v>224922</v>
      </c>
      <c r="F8" s="271">
        <v>227063</v>
      </c>
      <c r="G8" s="265">
        <f t="shared" si="3"/>
        <v>2141</v>
      </c>
    </row>
    <row r="9" spans="1:7" x14ac:dyDescent="0.2">
      <c r="A9" s="848">
        <v>43252</v>
      </c>
      <c r="B9" s="479">
        <f t="shared" si="0"/>
        <v>55409</v>
      </c>
      <c r="C9" s="243">
        <v>57396</v>
      </c>
      <c r="D9" s="319">
        <f t="shared" si="1"/>
        <v>1987</v>
      </c>
      <c r="E9" s="320">
        <f t="shared" si="2"/>
        <v>227063</v>
      </c>
      <c r="F9" s="271">
        <v>229163</v>
      </c>
      <c r="G9" s="265">
        <f t="shared" si="3"/>
        <v>2100</v>
      </c>
    </row>
    <row r="10" spans="1:7" x14ac:dyDescent="0.2">
      <c r="A10" s="848">
        <v>43282</v>
      </c>
      <c r="B10" s="479">
        <f t="shared" si="0"/>
        <v>57396</v>
      </c>
      <c r="C10" s="243">
        <v>59391</v>
      </c>
      <c r="D10" s="319">
        <f t="shared" si="1"/>
        <v>1995</v>
      </c>
      <c r="E10" s="320">
        <f t="shared" si="2"/>
        <v>229163</v>
      </c>
      <c r="F10" s="271">
        <v>231359</v>
      </c>
      <c r="G10" s="265">
        <f t="shared" si="3"/>
        <v>2196</v>
      </c>
    </row>
    <row r="11" spans="1:7" x14ac:dyDescent="0.2">
      <c r="A11" s="848">
        <v>43313</v>
      </c>
      <c r="B11" s="479">
        <f t="shared" si="0"/>
        <v>59391</v>
      </c>
      <c r="C11" s="243">
        <v>61427</v>
      </c>
      <c r="D11" s="319">
        <f t="shared" si="1"/>
        <v>2036</v>
      </c>
      <c r="E11" s="320">
        <f t="shared" si="2"/>
        <v>231359</v>
      </c>
      <c r="F11" s="271">
        <v>233548</v>
      </c>
      <c r="G11" s="265">
        <f t="shared" si="3"/>
        <v>2189</v>
      </c>
    </row>
    <row r="12" spans="1:7" x14ac:dyDescent="0.2">
      <c r="A12" s="848">
        <v>43344</v>
      </c>
      <c r="B12" s="479">
        <f t="shared" si="0"/>
        <v>61427</v>
      </c>
      <c r="C12" s="243">
        <v>63464</v>
      </c>
      <c r="D12" s="319">
        <f t="shared" si="1"/>
        <v>2037</v>
      </c>
      <c r="E12" s="320">
        <f t="shared" si="2"/>
        <v>233548</v>
      </c>
      <c r="F12" s="271">
        <v>235653</v>
      </c>
      <c r="G12" s="265">
        <f t="shared" si="3"/>
        <v>2105</v>
      </c>
    </row>
    <row r="13" spans="1:7" x14ac:dyDescent="0.2">
      <c r="A13" s="848">
        <v>43374</v>
      </c>
      <c r="B13" s="479">
        <f t="shared" si="0"/>
        <v>63464</v>
      </c>
      <c r="C13" s="243">
        <v>65577</v>
      </c>
      <c r="D13" s="319">
        <f t="shared" si="1"/>
        <v>2113</v>
      </c>
      <c r="E13" s="320">
        <f t="shared" si="2"/>
        <v>235653</v>
      </c>
      <c r="F13" s="271">
        <v>237802</v>
      </c>
      <c r="G13" s="265">
        <f t="shared" si="3"/>
        <v>2149</v>
      </c>
    </row>
    <row r="14" spans="1:7" x14ac:dyDescent="0.2">
      <c r="A14" s="848">
        <v>43405</v>
      </c>
      <c r="B14" s="479">
        <f t="shared" si="0"/>
        <v>65577</v>
      </c>
      <c r="C14" s="243">
        <v>67714</v>
      </c>
      <c r="D14" s="319">
        <f t="shared" si="1"/>
        <v>2137</v>
      </c>
      <c r="E14" s="320">
        <f t="shared" si="2"/>
        <v>237802</v>
      </c>
      <c r="F14" s="271">
        <v>239883</v>
      </c>
      <c r="G14" s="265">
        <f t="shared" si="3"/>
        <v>2081</v>
      </c>
    </row>
    <row r="15" spans="1:7" x14ac:dyDescent="0.2">
      <c r="A15" s="848">
        <v>43435</v>
      </c>
      <c r="B15" s="479">
        <f t="shared" si="0"/>
        <v>67714</v>
      </c>
      <c r="C15" s="243">
        <v>69886</v>
      </c>
      <c r="D15" s="319">
        <f t="shared" si="1"/>
        <v>2172</v>
      </c>
      <c r="E15" s="320">
        <f t="shared" si="2"/>
        <v>239883</v>
      </c>
      <c r="F15" s="271">
        <v>242023</v>
      </c>
      <c r="G15" s="265">
        <f t="shared" si="3"/>
        <v>2140</v>
      </c>
    </row>
    <row r="16" spans="1:7" x14ac:dyDescent="0.2">
      <c r="A16" s="848">
        <v>43466</v>
      </c>
      <c r="B16" s="479">
        <f t="shared" si="0"/>
        <v>69886</v>
      </c>
      <c r="C16" s="243">
        <v>72120</v>
      </c>
      <c r="D16" s="319">
        <f t="shared" si="1"/>
        <v>2234</v>
      </c>
      <c r="E16" s="320">
        <f t="shared" si="2"/>
        <v>242023</v>
      </c>
      <c r="F16" s="271">
        <v>244252</v>
      </c>
      <c r="G16" s="265">
        <f t="shared" si="3"/>
        <v>2229</v>
      </c>
    </row>
    <row r="17" spans="1:7" x14ac:dyDescent="0.2">
      <c r="A17" s="848">
        <v>43497</v>
      </c>
      <c r="B17" s="479">
        <f t="shared" si="0"/>
        <v>72120</v>
      </c>
      <c r="C17" s="243">
        <v>74132</v>
      </c>
      <c r="D17" s="319">
        <f t="shared" si="1"/>
        <v>2012</v>
      </c>
      <c r="E17" s="320">
        <f t="shared" si="2"/>
        <v>244252</v>
      </c>
      <c r="F17" s="271">
        <v>246272</v>
      </c>
      <c r="G17" s="265">
        <f t="shared" si="3"/>
        <v>2020</v>
      </c>
    </row>
    <row r="18" spans="1:7" x14ac:dyDescent="0.2">
      <c r="A18" s="848">
        <v>43525</v>
      </c>
      <c r="B18" s="479">
        <f t="shared" si="0"/>
        <v>74132</v>
      </c>
      <c r="C18" s="243">
        <v>76130</v>
      </c>
      <c r="D18" s="319">
        <f t="shared" si="1"/>
        <v>1998</v>
      </c>
      <c r="E18" s="320">
        <f t="shared" si="2"/>
        <v>246272</v>
      </c>
      <c r="F18" s="271">
        <v>248562</v>
      </c>
      <c r="G18" s="265">
        <f t="shared" si="3"/>
        <v>2290</v>
      </c>
    </row>
    <row r="19" spans="1:7" x14ac:dyDescent="0.2">
      <c r="A19" s="848">
        <v>43556</v>
      </c>
      <c r="B19" s="479">
        <f t="shared" si="0"/>
        <v>76130</v>
      </c>
      <c r="C19" s="243">
        <v>77859</v>
      </c>
      <c r="D19" s="319">
        <f t="shared" si="1"/>
        <v>1729</v>
      </c>
      <c r="E19" s="320">
        <f t="shared" si="2"/>
        <v>248562</v>
      </c>
      <c r="F19" s="271">
        <v>250789</v>
      </c>
      <c r="G19" s="265">
        <f t="shared" si="3"/>
        <v>2227</v>
      </c>
    </row>
    <row r="20" spans="1:7" x14ac:dyDescent="0.2">
      <c r="A20" s="848">
        <v>43586</v>
      </c>
      <c r="B20" s="479">
        <f t="shared" si="0"/>
        <v>77859</v>
      </c>
      <c r="C20" s="243">
        <v>79636</v>
      </c>
      <c r="D20" s="319">
        <f t="shared" si="1"/>
        <v>1777</v>
      </c>
      <c r="E20" s="320">
        <f t="shared" si="2"/>
        <v>250789</v>
      </c>
      <c r="F20" s="271">
        <v>252878</v>
      </c>
      <c r="G20" s="265">
        <f t="shared" si="3"/>
        <v>2089</v>
      </c>
    </row>
    <row r="21" spans="1:7" x14ac:dyDescent="0.2">
      <c r="A21" s="848">
        <v>43617</v>
      </c>
      <c r="B21" s="479">
        <f t="shared" si="0"/>
        <v>79636</v>
      </c>
      <c r="C21" s="243">
        <v>81603</v>
      </c>
      <c r="D21" s="319">
        <f t="shared" si="1"/>
        <v>1967</v>
      </c>
      <c r="E21" s="320">
        <f t="shared" si="2"/>
        <v>252878</v>
      </c>
      <c r="F21" s="271">
        <v>254783</v>
      </c>
      <c r="G21" s="265">
        <f t="shared" si="3"/>
        <v>1905</v>
      </c>
    </row>
    <row r="22" spans="1:7" x14ac:dyDescent="0.2">
      <c r="A22" s="848">
        <v>43647</v>
      </c>
      <c r="B22" s="479">
        <f t="shared" si="0"/>
        <v>81603</v>
      </c>
      <c r="C22" s="243">
        <v>83511</v>
      </c>
      <c r="D22" s="319">
        <f t="shared" si="1"/>
        <v>1908</v>
      </c>
      <c r="E22" s="320">
        <f t="shared" si="2"/>
        <v>254783</v>
      </c>
      <c r="F22" s="243">
        <v>257138</v>
      </c>
      <c r="G22" s="265">
        <f t="shared" si="3"/>
        <v>2355</v>
      </c>
    </row>
    <row r="23" spans="1:7" x14ac:dyDescent="0.2">
      <c r="A23" s="848">
        <v>43678</v>
      </c>
      <c r="B23" s="479">
        <f t="shared" si="0"/>
        <v>83511</v>
      </c>
      <c r="C23" s="243">
        <v>85418</v>
      </c>
      <c r="D23" s="319">
        <f t="shared" si="1"/>
        <v>1907</v>
      </c>
      <c r="E23" s="320">
        <f t="shared" si="2"/>
        <v>257138</v>
      </c>
      <c r="F23" s="243">
        <v>259453</v>
      </c>
      <c r="G23" s="265">
        <f t="shared" si="3"/>
        <v>2315</v>
      </c>
    </row>
    <row r="24" spans="1:7" x14ac:dyDescent="0.2">
      <c r="A24" s="848">
        <v>43709</v>
      </c>
      <c r="B24" s="479">
        <f t="shared" si="0"/>
        <v>85418</v>
      </c>
      <c r="C24" s="243">
        <v>87262</v>
      </c>
      <c r="D24" s="319">
        <f t="shared" si="1"/>
        <v>1844</v>
      </c>
      <c r="E24" s="320">
        <f t="shared" si="2"/>
        <v>259453</v>
      </c>
      <c r="F24" s="243">
        <v>261652</v>
      </c>
      <c r="G24" s="265">
        <f t="shared" si="3"/>
        <v>2199</v>
      </c>
    </row>
    <row r="25" spans="1:7" x14ac:dyDescent="0.2">
      <c r="A25" s="848">
        <v>43739</v>
      </c>
      <c r="B25" s="479">
        <f t="shared" si="0"/>
        <v>87262</v>
      </c>
      <c r="C25" s="243">
        <v>89489</v>
      </c>
      <c r="D25" s="319">
        <f t="shared" si="1"/>
        <v>2227</v>
      </c>
      <c r="E25" s="320">
        <f t="shared" si="2"/>
        <v>261652</v>
      </c>
      <c r="F25" s="243">
        <v>263905</v>
      </c>
      <c r="G25" s="265">
        <f t="shared" si="3"/>
        <v>2253</v>
      </c>
    </row>
    <row r="26" spans="1:7" x14ac:dyDescent="0.2">
      <c r="A26" s="848">
        <v>43770</v>
      </c>
      <c r="B26" s="479">
        <f t="shared" si="0"/>
        <v>89489</v>
      </c>
      <c r="C26" s="243">
        <v>91615</v>
      </c>
      <c r="D26" s="319">
        <f t="shared" si="1"/>
        <v>2126</v>
      </c>
      <c r="E26" s="320">
        <f t="shared" si="2"/>
        <v>263905</v>
      </c>
      <c r="F26" s="243">
        <v>265969</v>
      </c>
      <c r="G26" s="265">
        <f t="shared" si="3"/>
        <v>2064</v>
      </c>
    </row>
    <row r="27" spans="1:7" x14ac:dyDescent="0.2">
      <c r="A27" s="848">
        <v>43800</v>
      </c>
      <c r="B27" s="479">
        <f t="shared" si="0"/>
        <v>91615</v>
      </c>
      <c r="C27" s="243">
        <v>93828</v>
      </c>
      <c r="D27" s="319">
        <f t="shared" si="1"/>
        <v>2213</v>
      </c>
      <c r="E27" s="320">
        <f t="shared" si="2"/>
        <v>265969</v>
      </c>
      <c r="F27" s="243">
        <v>268212</v>
      </c>
      <c r="G27" s="265">
        <f t="shared" si="3"/>
        <v>2243</v>
      </c>
    </row>
    <row r="28" spans="1:7" x14ac:dyDescent="0.2">
      <c r="A28" s="848">
        <v>43831</v>
      </c>
      <c r="B28" s="479">
        <f t="shared" si="0"/>
        <v>93828</v>
      </c>
      <c r="C28" s="243">
        <v>95998</v>
      </c>
      <c r="D28" s="319">
        <f t="shared" si="1"/>
        <v>2170</v>
      </c>
      <c r="E28" s="320">
        <f t="shared" si="2"/>
        <v>268212</v>
      </c>
      <c r="F28" s="243">
        <v>270443</v>
      </c>
      <c r="G28" s="265">
        <f t="shared" si="3"/>
        <v>2231</v>
      </c>
    </row>
    <row r="29" spans="1:7" x14ac:dyDescent="0.2">
      <c r="A29" s="848">
        <v>43862</v>
      </c>
      <c r="B29" s="479">
        <f t="shared" si="0"/>
        <v>95998</v>
      </c>
      <c r="C29" s="243">
        <v>98070</v>
      </c>
      <c r="D29" s="319">
        <f t="shared" si="1"/>
        <v>2072</v>
      </c>
      <c r="E29" s="320">
        <f t="shared" si="2"/>
        <v>270443</v>
      </c>
      <c r="F29" s="243">
        <v>272554</v>
      </c>
      <c r="G29" s="265">
        <f t="shared" si="3"/>
        <v>2111</v>
      </c>
    </row>
    <row r="30" spans="1:7" x14ac:dyDescent="0.2">
      <c r="A30" s="848">
        <v>43891</v>
      </c>
      <c r="B30" s="479">
        <f t="shared" si="0"/>
        <v>98070</v>
      </c>
      <c r="C30" s="243">
        <v>100381</v>
      </c>
      <c r="D30" s="319">
        <f t="shared" si="1"/>
        <v>2311</v>
      </c>
      <c r="E30" s="320">
        <f t="shared" si="2"/>
        <v>272554</v>
      </c>
      <c r="F30" s="243">
        <v>274788</v>
      </c>
      <c r="G30" s="265">
        <f t="shared" si="3"/>
        <v>2234</v>
      </c>
    </row>
    <row r="31" spans="1:7" x14ac:dyDescent="0.2">
      <c r="A31" s="848">
        <v>43922</v>
      </c>
      <c r="B31" s="479">
        <f t="shared" si="0"/>
        <v>100381</v>
      </c>
      <c r="C31" s="243">
        <v>102607</v>
      </c>
      <c r="D31" s="319">
        <f t="shared" si="1"/>
        <v>2226</v>
      </c>
      <c r="E31" s="320">
        <f t="shared" si="2"/>
        <v>274788</v>
      </c>
      <c r="F31" s="243">
        <v>276874</v>
      </c>
      <c r="G31" s="265">
        <f t="shared" si="3"/>
        <v>2086</v>
      </c>
    </row>
    <row r="32" spans="1:7" x14ac:dyDescent="0.2">
      <c r="A32" s="848">
        <v>43952</v>
      </c>
      <c r="B32" s="479">
        <f t="shared" si="0"/>
        <v>102607</v>
      </c>
      <c r="C32" s="243">
        <v>104898</v>
      </c>
      <c r="D32" s="319">
        <f t="shared" si="1"/>
        <v>2291</v>
      </c>
      <c r="E32" s="320">
        <f t="shared" si="2"/>
        <v>276874</v>
      </c>
      <c r="F32" s="243">
        <v>279093</v>
      </c>
      <c r="G32" s="265">
        <f t="shared" si="3"/>
        <v>2219</v>
      </c>
    </row>
    <row r="33" spans="1:7" x14ac:dyDescent="0.2">
      <c r="A33" s="848">
        <v>43983</v>
      </c>
      <c r="B33" s="479">
        <f t="shared" si="0"/>
        <v>104898</v>
      </c>
      <c r="C33" s="243">
        <v>107117</v>
      </c>
      <c r="D33" s="319">
        <f t="shared" si="1"/>
        <v>2219</v>
      </c>
      <c r="E33" s="320">
        <f t="shared" si="2"/>
        <v>279093</v>
      </c>
      <c r="F33" s="243">
        <v>281240</v>
      </c>
      <c r="G33" s="265">
        <f t="shared" si="3"/>
        <v>2147</v>
      </c>
    </row>
    <row r="34" spans="1:7" x14ac:dyDescent="0.2">
      <c r="A34" s="848">
        <v>44013</v>
      </c>
      <c r="B34" s="479">
        <f t="shared" si="0"/>
        <v>107117</v>
      </c>
      <c r="C34" s="243">
        <v>109400</v>
      </c>
      <c r="D34" s="319">
        <f t="shared" si="1"/>
        <v>2283</v>
      </c>
      <c r="E34" s="320">
        <f t="shared" si="2"/>
        <v>281240</v>
      </c>
      <c r="F34" s="243">
        <v>283452</v>
      </c>
      <c r="G34" s="265">
        <f t="shared" si="3"/>
        <v>2212</v>
      </c>
    </row>
    <row r="35" spans="1:7" x14ac:dyDescent="0.2">
      <c r="A35" s="848">
        <v>44044</v>
      </c>
      <c r="B35" s="479">
        <f t="shared" si="0"/>
        <v>109400</v>
      </c>
      <c r="C35" s="243">
        <v>111576</v>
      </c>
      <c r="D35" s="319">
        <f t="shared" si="1"/>
        <v>2176</v>
      </c>
      <c r="E35" s="320">
        <f t="shared" si="2"/>
        <v>283452</v>
      </c>
      <c r="F35" s="243">
        <v>285683</v>
      </c>
      <c r="G35" s="265">
        <f t="shared" si="3"/>
        <v>2231</v>
      </c>
    </row>
    <row r="36" spans="1:7" x14ac:dyDescent="0.2">
      <c r="A36" s="848">
        <v>44075</v>
      </c>
      <c r="B36" s="479">
        <f t="shared" si="0"/>
        <v>111576</v>
      </c>
      <c r="C36" s="243">
        <v>113681</v>
      </c>
      <c r="D36" s="319">
        <f t="shared" si="1"/>
        <v>2105</v>
      </c>
      <c r="E36" s="320">
        <f t="shared" si="2"/>
        <v>285683</v>
      </c>
      <c r="F36" s="243">
        <v>287829</v>
      </c>
      <c r="G36" s="265">
        <f t="shared" si="3"/>
        <v>2146</v>
      </c>
    </row>
    <row r="37" spans="1:7" x14ac:dyDescent="0.2">
      <c r="A37" s="848">
        <v>44105</v>
      </c>
      <c r="B37" s="479">
        <f t="shared" si="0"/>
        <v>113681</v>
      </c>
      <c r="C37" s="243">
        <v>115884</v>
      </c>
      <c r="D37" s="319">
        <f t="shared" si="1"/>
        <v>2203</v>
      </c>
      <c r="E37" s="320">
        <f t="shared" si="2"/>
        <v>287829</v>
      </c>
      <c r="F37" s="243">
        <v>290035</v>
      </c>
      <c r="G37" s="265">
        <f t="shared" si="3"/>
        <v>2206</v>
      </c>
    </row>
    <row r="38" spans="1:7" x14ac:dyDescent="0.2">
      <c r="A38" s="848">
        <v>44136</v>
      </c>
      <c r="B38" s="479">
        <f t="shared" si="0"/>
        <v>115884</v>
      </c>
      <c r="C38" s="243">
        <v>117878</v>
      </c>
      <c r="D38" s="319">
        <f t="shared" si="1"/>
        <v>1994</v>
      </c>
      <c r="E38" s="320">
        <f t="shared" si="2"/>
        <v>290035</v>
      </c>
      <c r="F38" s="243">
        <v>292096</v>
      </c>
      <c r="G38" s="265">
        <f t="shared" si="3"/>
        <v>2061</v>
      </c>
    </row>
    <row r="39" spans="1:7" x14ac:dyDescent="0.2">
      <c r="A39" s="848">
        <v>44166</v>
      </c>
      <c r="B39" s="479">
        <f t="shared" si="0"/>
        <v>117878</v>
      </c>
      <c r="C39" s="243"/>
      <c r="D39" s="319">
        <f t="shared" si="1"/>
        <v>-117878</v>
      </c>
      <c r="E39" s="320">
        <f t="shared" si="2"/>
        <v>292096</v>
      </c>
      <c r="F39" s="243"/>
      <c r="G39" s="265">
        <f t="shared" si="3"/>
        <v>-292096</v>
      </c>
    </row>
    <row r="40" spans="1:7" x14ac:dyDescent="0.2">
      <c r="A40" s="848">
        <v>44197</v>
      </c>
      <c r="B40" s="479">
        <f t="shared" si="0"/>
        <v>0</v>
      </c>
      <c r="C40" s="243"/>
      <c r="D40" s="319">
        <f t="shared" si="1"/>
        <v>0</v>
      </c>
      <c r="E40" s="320">
        <f t="shared" si="2"/>
        <v>0</v>
      </c>
      <c r="F40" s="243"/>
      <c r="G40" s="265">
        <f t="shared" si="3"/>
        <v>0</v>
      </c>
    </row>
    <row r="41" spans="1:7" x14ac:dyDescent="0.2">
      <c r="A41" s="848">
        <v>44228</v>
      </c>
      <c r="B41" s="479">
        <f t="shared" si="0"/>
        <v>0</v>
      </c>
      <c r="C41" s="243"/>
      <c r="D41" s="319">
        <f t="shared" si="1"/>
        <v>0</v>
      </c>
      <c r="E41" s="320">
        <f t="shared" si="2"/>
        <v>0</v>
      </c>
      <c r="F41" s="243"/>
      <c r="G41" s="265">
        <f t="shared" si="3"/>
        <v>0</v>
      </c>
    </row>
    <row r="42" spans="1:7" x14ac:dyDescent="0.2">
      <c r="A42" s="848">
        <v>44256</v>
      </c>
      <c r="B42" s="479">
        <f t="shared" si="0"/>
        <v>0</v>
      </c>
      <c r="C42" s="243"/>
      <c r="D42" s="319">
        <f t="shared" si="1"/>
        <v>0</v>
      </c>
      <c r="E42" s="320">
        <f t="shared" si="2"/>
        <v>0</v>
      </c>
      <c r="F42" s="243"/>
      <c r="G42" s="265">
        <f t="shared" si="3"/>
        <v>0</v>
      </c>
    </row>
    <row r="43" spans="1:7" x14ac:dyDescent="0.2">
      <c r="A43" s="848">
        <v>44287</v>
      </c>
      <c r="B43" s="479">
        <f t="shared" si="0"/>
        <v>0</v>
      </c>
      <c r="C43" s="243"/>
      <c r="D43" s="319">
        <f t="shared" si="1"/>
        <v>0</v>
      </c>
      <c r="E43" s="320">
        <f t="shared" si="2"/>
        <v>0</v>
      </c>
      <c r="F43" s="243"/>
      <c r="G43" s="265">
        <f t="shared" si="3"/>
        <v>0</v>
      </c>
    </row>
    <row r="44" spans="1:7" x14ac:dyDescent="0.2">
      <c r="A44" s="848">
        <v>44317</v>
      </c>
      <c r="B44" s="479">
        <f t="shared" si="0"/>
        <v>0</v>
      </c>
      <c r="C44" s="243"/>
      <c r="D44" s="319">
        <f t="shared" si="1"/>
        <v>0</v>
      </c>
      <c r="E44" s="320">
        <f t="shared" si="2"/>
        <v>0</v>
      </c>
      <c r="F44" s="243"/>
      <c r="G44" s="265">
        <f t="shared" si="3"/>
        <v>0</v>
      </c>
    </row>
    <row r="45" spans="1:7" x14ac:dyDescent="0.2">
      <c r="A45" s="848">
        <v>44348</v>
      </c>
      <c r="B45" s="479">
        <f t="shared" si="0"/>
        <v>0</v>
      </c>
      <c r="C45" s="243"/>
      <c r="D45" s="319">
        <f t="shared" si="1"/>
        <v>0</v>
      </c>
      <c r="E45" s="320">
        <f t="shared" si="2"/>
        <v>0</v>
      </c>
      <c r="F45" s="243"/>
      <c r="G45" s="265">
        <f t="shared" si="3"/>
        <v>0</v>
      </c>
    </row>
    <row r="46" spans="1:7" x14ac:dyDescent="0.2">
      <c r="A46" s="848">
        <v>44378</v>
      </c>
      <c r="B46" s="479">
        <f t="shared" si="0"/>
        <v>0</v>
      </c>
      <c r="C46" s="243"/>
      <c r="D46" s="319">
        <f t="shared" si="1"/>
        <v>0</v>
      </c>
      <c r="E46" s="320">
        <f t="shared" si="2"/>
        <v>0</v>
      </c>
      <c r="F46" s="243"/>
      <c r="G46" s="265">
        <f t="shared" si="3"/>
        <v>0</v>
      </c>
    </row>
    <row r="47" spans="1:7" x14ac:dyDescent="0.2">
      <c r="A47" s="848">
        <v>44409</v>
      </c>
      <c r="B47" s="479">
        <f t="shared" si="0"/>
        <v>0</v>
      </c>
      <c r="C47" s="243"/>
      <c r="D47" s="319">
        <f t="shared" si="1"/>
        <v>0</v>
      </c>
      <c r="E47" s="320">
        <f t="shared" si="2"/>
        <v>0</v>
      </c>
      <c r="F47" s="243"/>
      <c r="G47" s="265">
        <f t="shared" si="3"/>
        <v>0</v>
      </c>
    </row>
    <row r="48" spans="1:7" x14ac:dyDescent="0.2">
      <c r="A48" s="848">
        <v>44440</v>
      </c>
      <c r="B48" s="479">
        <f t="shared" si="0"/>
        <v>0</v>
      </c>
      <c r="C48" s="243"/>
      <c r="D48" s="319">
        <f t="shared" si="1"/>
        <v>0</v>
      </c>
      <c r="E48" s="320">
        <f t="shared" si="2"/>
        <v>0</v>
      </c>
      <c r="F48" s="243"/>
      <c r="G48" s="265">
        <f t="shared" si="3"/>
        <v>0</v>
      </c>
    </row>
    <row r="49" spans="1:7" x14ac:dyDescent="0.2">
      <c r="A49" s="848">
        <v>44470</v>
      </c>
      <c r="B49" s="479">
        <f t="shared" si="0"/>
        <v>0</v>
      </c>
      <c r="C49" s="243"/>
      <c r="D49" s="319">
        <f t="shared" si="1"/>
        <v>0</v>
      </c>
      <c r="E49" s="320">
        <f t="shared" si="2"/>
        <v>0</v>
      </c>
      <c r="F49" s="6"/>
      <c r="G49" s="265">
        <f t="shared" si="3"/>
        <v>0</v>
      </c>
    </row>
    <row r="50" spans="1:7" x14ac:dyDescent="0.2">
      <c r="A50" s="848">
        <v>44501</v>
      </c>
      <c r="B50" s="479">
        <f t="shared" si="0"/>
        <v>0</v>
      </c>
      <c r="C50" s="243"/>
      <c r="D50" s="319">
        <f t="shared" si="1"/>
        <v>0</v>
      </c>
      <c r="E50" s="320">
        <f t="shared" si="2"/>
        <v>0</v>
      </c>
      <c r="F50" s="6"/>
      <c r="G50" s="265">
        <f t="shared" si="3"/>
        <v>0</v>
      </c>
    </row>
    <row r="51" spans="1:7" x14ac:dyDescent="0.2">
      <c r="A51" s="848">
        <v>44531</v>
      </c>
      <c r="B51" s="479">
        <f t="shared" si="0"/>
        <v>0</v>
      </c>
      <c r="C51" s="243"/>
      <c r="D51" s="319">
        <f t="shared" si="1"/>
        <v>0</v>
      </c>
      <c r="E51" s="320">
        <f t="shared" si="2"/>
        <v>0</v>
      </c>
      <c r="F51" s="6"/>
      <c r="G51" s="265">
        <f t="shared" si="3"/>
        <v>0</v>
      </c>
    </row>
    <row r="52" spans="1:7" x14ac:dyDescent="0.2">
      <c r="A52" s="848">
        <v>44562</v>
      </c>
      <c r="B52" s="479">
        <f t="shared" si="0"/>
        <v>0</v>
      </c>
      <c r="C52" s="243"/>
      <c r="D52" s="319">
        <f t="shared" si="1"/>
        <v>0</v>
      </c>
      <c r="E52" s="320">
        <f t="shared" si="2"/>
        <v>0</v>
      </c>
      <c r="F52" s="6"/>
      <c r="G52" s="265">
        <f t="shared" si="3"/>
        <v>0</v>
      </c>
    </row>
    <row r="53" spans="1:7" x14ac:dyDescent="0.2">
      <c r="A53" s="848">
        <v>44593</v>
      </c>
      <c r="B53" s="479">
        <f t="shared" si="0"/>
        <v>0</v>
      </c>
      <c r="C53" s="6"/>
      <c r="D53" s="319">
        <f t="shared" si="1"/>
        <v>0</v>
      </c>
      <c r="E53" s="320">
        <f t="shared" si="2"/>
        <v>0</v>
      </c>
      <c r="F53" s="6"/>
      <c r="G53" s="265">
        <f t="shared" si="3"/>
        <v>0</v>
      </c>
    </row>
    <row r="54" spans="1:7" x14ac:dyDescent="0.2">
      <c r="A54" s="848">
        <v>44621</v>
      </c>
      <c r="B54" s="479">
        <f t="shared" si="0"/>
        <v>0</v>
      </c>
      <c r="C54" s="6"/>
      <c r="D54" s="319">
        <f t="shared" si="1"/>
        <v>0</v>
      </c>
      <c r="E54" s="320">
        <f t="shared" si="2"/>
        <v>0</v>
      </c>
      <c r="F54" s="6"/>
      <c r="G54" s="265">
        <f t="shared" si="3"/>
        <v>0</v>
      </c>
    </row>
    <row r="55" spans="1:7" x14ac:dyDescent="0.2">
      <c r="A55" s="848">
        <v>44652</v>
      </c>
      <c r="B55" s="479">
        <f t="shared" si="0"/>
        <v>0</v>
      </c>
      <c r="C55" s="6"/>
      <c r="D55" s="319">
        <f t="shared" si="1"/>
        <v>0</v>
      </c>
      <c r="E55" s="320">
        <f t="shared" si="2"/>
        <v>0</v>
      </c>
      <c r="F55" s="6"/>
      <c r="G55" s="265">
        <f t="shared" si="3"/>
        <v>0</v>
      </c>
    </row>
    <row r="56" spans="1:7" x14ac:dyDescent="0.2">
      <c r="A56" s="848">
        <v>44682</v>
      </c>
      <c r="B56" s="479">
        <f t="shared" si="0"/>
        <v>0</v>
      </c>
      <c r="C56" s="6"/>
      <c r="D56" s="319">
        <f t="shared" si="1"/>
        <v>0</v>
      </c>
      <c r="E56" s="320">
        <f t="shared" si="2"/>
        <v>0</v>
      </c>
      <c r="F56" s="6"/>
      <c r="G56" s="265">
        <f t="shared" si="3"/>
        <v>0</v>
      </c>
    </row>
    <row r="57" spans="1:7" x14ac:dyDescent="0.2">
      <c r="A57" s="848">
        <v>44713</v>
      </c>
      <c r="B57" s="479">
        <f t="shared" si="0"/>
        <v>0</v>
      </c>
      <c r="C57" s="6"/>
      <c r="D57" s="319">
        <f t="shared" si="1"/>
        <v>0</v>
      </c>
      <c r="E57" s="320">
        <f t="shared" si="2"/>
        <v>0</v>
      </c>
      <c r="F57" s="6"/>
      <c r="G57" s="265">
        <f t="shared" si="3"/>
        <v>0</v>
      </c>
    </row>
    <row r="58" spans="1:7" x14ac:dyDescent="0.2">
      <c r="A58" s="848">
        <v>44743</v>
      </c>
      <c r="B58" s="479">
        <f t="shared" si="0"/>
        <v>0</v>
      </c>
      <c r="C58" s="6"/>
      <c r="D58" s="319">
        <f t="shared" si="1"/>
        <v>0</v>
      </c>
      <c r="E58" s="320">
        <f t="shared" si="2"/>
        <v>0</v>
      </c>
      <c r="F58" s="6"/>
      <c r="G58" s="265">
        <f t="shared" si="3"/>
        <v>0</v>
      </c>
    </row>
    <row r="59" spans="1:7" x14ac:dyDescent="0.2">
      <c r="A59" s="848">
        <v>44774</v>
      </c>
      <c r="B59" s="479">
        <f t="shared" si="0"/>
        <v>0</v>
      </c>
      <c r="C59" s="6"/>
      <c r="D59" s="319">
        <f t="shared" si="1"/>
        <v>0</v>
      </c>
      <c r="E59" s="320">
        <f t="shared" si="2"/>
        <v>0</v>
      </c>
      <c r="F59" s="6"/>
      <c r="G59" s="265">
        <f t="shared" si="3"/>
        <v>0</v>
      </c>
    </row>
    <row r="60" spans="1:7" x14ac:dyDescent="0.2">
      <c r="A60" s="848">
        <v>44805</v>
      </c>
      <c r="B60" s="479">
        <f t="shared" si="0"/>
        <v>0</v>
      </c>
      <c r="C60" s="6"/>
      <c r="D60" s="319">
        <f t="shared" si="1"/>
        <v>0</v>
      </c>
      <c r="E60" s="320">
        <f t="shared" si="2"/>
        <v>0</v>
      </c>
      <c r="F60" s="6"/>
      <c r="G60" s="265">
        <f t="shared" si="3"/>
        <v>0</v>
      </c>
    </row>
    <row r="61" spans="1:7" x14ac:dyDescent="0.2">
      <c r="A61" s="848">
        <v>44835</v>
      </c>
      <c r="B61" s="479">
        <f t="shared" si="0"/>
        <v>0</v>
      </c>
      <c r="C61" s="6"/>
      <c r="D61" s="319">
        <f t="shared" si="1"/>
        <v>0</v>
      </c>
      <c r="E61" s="320">
        <f t="shared" si="2"/>
        <v>0</v>
      </c>
      <c r="F61" s="6"/>
      <c r="G61" s="265">
        <f t="shared" si="3"/>
        <v>0</v>
      </c>
    </row>
    <row r="62" spans="1:7" x14ac:dyDescent="0.2">
      <c r="A62" s="848">
        <v>44866</v>
      </c>
      <c r="B62" s="479">
        <f t="shared" si="0"/>
        <v>0</v>
      </c>
      <c r="C62" s="6"/>
      <c r="D62" s="319">
        <f t="shared" si="1"/>
        <v>0</v>
      </c>
      <c r="E62" s="320">
        <f t="shared" si="2"/>
        <v>0</v>
      </c>
      <c r="F62" s="6"/>
      <c r="G62" s="265">
        <f t="shared" si="3"/>
        <v>0</v>
      </c>
    </row>
    <row r="63" spans="1:7" x14ac:dyDescent="0.2">
      <c r="A63" s="848">
        <v>44896</v>
      </c>
      <c r="B63" s="479">
        <f t="shared" si="0"/>
        <v>0</v>
      </c>
      <c r="C63" s="6"/>
      <c r="D63" s="319">
        <f t="shared" si="1"/>
        <v>0</v>
      </c>
      <c r="E63" s="320">
        <f t="shared" si="2"/>
        <v>0</v>
      </c>
      <c r="F63" s="6"/>
      <c r="G63" s="265">
        <f t="shared" si="3"/>
        <v>0</v>
      </c>
    </row>
    <row r="64" spans="1:7" x14ac:dyDescent="0.2">
      <c r="A64" s="848">
        <v>44562</v>
      </c>
      <c r="B64" s="479">
        <f t="shared" si="0"/>
        <v>0</v>
      </c>
      <c r="C64" s="243"/>
      <c r="D64" s="319">
        <f t="shared" si="1"/>
        <v>0</v>
      </c>
      <c r="E64" s="320">
        <f t="shared" si="2"/>
        <v>0</v>
      </c>
      <c r="F64" s="6"/>
      <c r="G64" s="265">
        <f t="shared" si="3"/>
        <v>0</v>
      </c>
    </row>
    <row r="65" spans="1:9" x14ac:dyDescent="0.2">
      <c r="A65" s="848">
        <v>44593</v>
      </c>
      <c r="B65" s="479">
        <f t="shared" si="0"/>
        <v>0</v>
      </c>
      <c r="C65" s="6"/>
      <c r="D65" s="319">
        <f t="shared" si="1"/>
        <v>0</v>
      </c>
      <c r="E65" s="320">
        <f t="shared" si="2"/>
        <v>0</v>
      </c>
      <c r="F65" s="6"/>
      <c r="G65" s="265">
        <f t="shared" si="3"/>
        <v>0</v>
      </c>
    </row>
    <row r="66" spans="1:9" x14ac:dyDescent="0.2">
      <c r="A66" s="848">
        <v>44621</v>
      </c>
      <c r="B66" s="479">
        <f t="shared" si="0"/>
        <v>0</v>
      </c>
      <c r="C66" s="6"/>
      <c r="D66" s="319">
        <f t="shared" si="1"/>
        <v>0</v>
      </c>
      <c r="E66" s="320">
        <f t="shared" si="2"/>
        <v>0</v>
      </c>
      <c r="F66" s="6"/>
      <c r="G66" s="265">
        <f t="shared" si="3"/>
        <v>0</v>
      </c>
    </row>
    <row r="67" spans="1:9" x14ac:dyDescent="0.2">
      <c r="A67" s="848">
        <v>44652</v>
      </c>
      <c r="B67" s="479">
        <f t="shared" si="0"/>
        <v>0</v>
      </c>
      <c r="C67" s="6"/>
      <c r="D67" s="319">
        <f t="shared" si="1"/>
        <v>0</v>
      </c>
      <c r="E67" s="320">
        <f t="shared" si="2"/>
        <v>0</v>
      </c>
      <c r="F67" s="6"/>
      <c r="G67" s="265">
        <f t="shared" si="3"/>
        <v>0</v>
      </c>
    </row>
    <row r="68" spans="1:9" x14ac:dyDescent="0.2">
      <c r="A68" s="848">
        <v>44682</v>
      </c>
      <c r="B68" s="479">
        <f t="shared" si="0"/>
        <v>0</v>
      </c>
      <c r="C68" s="6"/>
      <c r="D68" s="319">
        <f t="shared" si="1"/>
        <v>0</v>
      </c>
      <c r="E68" s="320">
        <f t="shared" si="2"/>
        <v>0</v>
      </c>
      <c r="F68" s="6"/>
      <c r="G68" s="265">
        <f t="shared" si="3"/>
        <v>0</v>
      </c>
    </row>
    <row r="69" spans="1:9" x14ac:dyDescent="0.2">
      <c r="A69" s="848">
        <v>44713</v>
      </c>
      <c r="B69" s="479">
        <f t="shared" ref="B69:B75" si="4">C68</f>
        <v>0</v>
      </c>
      <c r="C69" s="6"/>
      <c r="D69" s="319">
        <f t="shared" ref="D69:D75" si="5">C69-B69</f>
        <v>0</v>
      </c>
      <c r="E69" s="320">
        <f t="shared" ref="E69:E75" si="6">F68</f>
        <v>0</v>
      </c>
      <c r="F69" s="6"/>
      <c r="G69" s="265">
        <f t="shared" ref="G69:G75" si="7">F69-E69</f>
        <v>0</v>
      </c>
    </row>
    <row r="70" spans="1:9" x14ac:dyDescent="0.2">
      <c r="A70" s="848">
        <v>44743</v>
      </c>
      <c r="B70" s="479">
        <f t="shared" si="4"/>
        <v>0</v>
      </c>
      <c r="C70" s="6"/>
      <c r="D70" s="319">
        <f t="shared" si="5"/>
        <v>0</v>
      </c>
      <c r="E70" s="320">
        <f t="shared" si="6"/>
        <v>0</v>
      </c>
      <c r="F70" s="6"/>
      <c r="G70" s="265">
        <f t="shared" si="7"/>
        <v>0</v>
      </c>
    </row>
    <row r="71" spans="1:9" x14ac:dyDescent="0.2">
      <c r="A71" s="848">
        <v>44774</v>
      </c>
      <c r="B71" s="479">
        <f t="shared" si="4"/>
        <v>0</v>
      </c>
      <c r="C71" s="6"/>
      <c r="D71" s="319">
        <f t="shared" si="5"/>
        <v>0</v>
      </c>
      <c r="E71" s="320">
        <f t="shared" si="6"/>
        <v>0</v>
      </c>
      <c r="F71" s="6"/>
      <c r="G71" s="265">
        <f t="shared" si="7"/>
        <v>0</v>
      </c>
    </row>
    <row r="72" spans="1:9" x14ac:dyDescent="0.2">
      <c r="A72" s="848">
        <v>44805</v>
      </c>
      <c r="B72" s="479">
        <f t="shared" si="4"/>
        <v>0</v>
      </c>
      <c r="C72" s="6"/>
      <c r="D72" s="319">
        <f t="shared" si="5"/>
        <v>0</v>
      </c>
      <c r="E72" s="320">
        <f t="shared" si="6"/>
        <v>0</v>
      </c>
      <c r="F72" s="6"/>
      <c r="G72" s="265">
        <f t="shared" si="7"/>
        <v>0</v>
      </c>
    </row>
    <row r="73" spans="1:9" x14ac:dyDescent="0.2">
      <c r="A73" s="848">
        <v>44835</v>
      </c>
      <c r="B73" s="479">
        <f t="shared" si="4"/>
        <v>0</v>
      </c>
      <c r="C73" s="6"/>
      <c r="D73" s="319">
        <f t="shared" si="5"/>
        <v>0</v>
      </c>
      <c r="E73" s="320">
        <f t="shared" si="6"/>
        <v>0</v>
      </c>
      <c r="F73" s="6"/>
      <c r="G73" s="265">
        <f t="shared" si="7"/>
        <v>0</v>
      </c>
    </row>
    <row r="74" spans="1:9" x14ac:dyDescent="0.2">
      <c r="A74" s="848">
        <v>44866</v>
      </c>
      <c r="B74" s="479">
        <f t="shared" si="4"/>
        <v>0</v>
      </c>
      <c r="C74" s="6"/>
      <c r="D74" s="319">
        <f t="shared" si="5"/>
        <v>0</v>
      </c>
      <c r="E74" s="320">
        <f t="shared" si="6"/>
        <v>0</v>
      </c>
      <c r="F74" s="6"/>
      <c r="G74" s="265">
        <f t="shared" si="7"/>
        <v>0</v>
      </c>
    </row>
    <row r="75" spans="1:9" ht="13.5" thickBot="1" x14ac:dyDescent="0.25">
      <c r="A75" s="849">
        <v>44896</v>
      </c>
      <c r="B75" s="850">
        <f t="shared" si="4"/>
        <v>0</v>
      </c>
      <c r="C75" s="8"/>
      <c r="D75" s="851">
        <f t="shared" si="5"/>
        <v>0</v>
      </c>
      <c r="E75" s="852">
        <f t="shared" si="6"/>
        <v>0</v>
      </c>
      <c r="F75" s="8"/>
      <c r="G75" s="853">
        <f t="shared" si="7"/>
        <v>0</v>
      </c>
    </row>
    <row r="76" spans="1:9" ht="13.5" thickBot="1" x14ac:dyDescent="0.25"/>
    <row r="77" spans="1:9" x14ac:dyDescent="0.2">
      <c r="B77" s="985"/>
      <c r="C77" s="986"/>
      <c r="D77" s="987"/>
      <c r="F77" s="985"/>
      <c r="G77" s="986"/>
      <c r="H77" s="986"/>
      <c r="I77" s="987"/>
    </row>
    <row r="78" spans="1:9" x14ac:dyDescent="0.2">
      <c r="B78" s="988"/>
      <c r="C78" s="989"/>
      <c r="D78" s="990"/>
      <c r="F78" s="988"/>
      <c r="G78" s="989"/>
      <c r="H78" s="989"/>
      <c r="I78" s="990"/>
    </row>
    <row r="79" spans="1:9" x14ac:dyDescent="0.2">
      <c r="B79" s="988"/>
      <c r="C79" s="989"/>
      <c r="D79" s="990"/>
      <c r="F79" s="988"/>
      <c r="G79" s="989"/>
      <c r="H79" s="989"/>
      <c r="I79" s="990"/>
    </row>
    <row r="80" spans="1:9" x14ac:dyDescent="0.2">
      <c r="B80" s="988"/>
      <c r="C80" s="989"/>
      <c r="D80" s="990"/>
      <c r="F80" s="988"/>
      <c r="G80" s="989"/>
      <c r="H80" s="989"/>
      <c r="I80" s="990"/>
    </row>
    <row r="81" spans="2:9" x14ac:dyDescent="0.2">
      <c r="B81" s="988"/>
      <c r="C81" s="989"/>
      <c r="D81" s="990"/>
      <c r="F81" s="988"/>
      <c r="G81" s="989"/>
      <c r="H81" s="989"/>
      <c r="I81" s="990"/>
    </row>
    <row r="82" spans="2:9" x14ac:dyDescent="0.2">
      <c r="B82" s="988"/>
      <c r="C82" s="989"/>
      <c r="D82" s="990"/>
      <c r="F82" s="988"/>
      <c r="G82" s="989"/>
      <c r="H82" s="989"/>
      <c r="I82" s="990"/>
    </row>
    <row r="83" spans="2:9" x14ac:dyDescent="0.2">
      <c r="B83" s="988"/>
      <c r="C83" s="989"/>
      <c r="D83" s="990"/>
      <c r="F83" s="988"/>
      <c r="G83" s="989"/>
      <c r="H83" s="989"/>
      <c r="I83" s="990"/>
    </row>
    <row r="84" spans="2:9" ht="13.5" thickBot="1" x14ac:dyDescent="0.25">
      <c r="B84" s="991"/>
      <c r="C84" s="992"/>
      <c r="D84" s="993"/>
      <c r="F84" s="991"/>
      <c r="G84" s="992"/>
      <c r="H84" s="992"/>
      <c r="I84" s="993"/>
    </row>
    <row r="85" spans="2:9" x14ac:dyDescent="0.2">
      <c r="B85" s="973" t="s">
        <v>338</v>
      </c>
      <c r="C85" s="974"/>
      <c r="D85" s="975"/>
      <c r="F85" s="973" t="s">
        <v>339</v>
      </c>
      <c r="G85" s="974"/>
      <c r="H85" s="974"/>
      <c r="I85" s="975"/>
    </row>
    <row r="86" spans="2:9" ht="13.5" thickBot="1" x14ac:dyDescent="0.25">
      <c r="B86" s="976"/>
      <c r="C86" s="977"/>
      <c r="D86" s="978"/>
      <c r="F86" s="976"/>
      <c r="G86" s="977"/>
      <c r="H86" s="977"/>
      <c r="I86" s="978"/>
    </row>
  </sheetData>
  <mergeCells count="7">
    <mergeCell ref="B85:D86"/>
    <mergeCell ref="F85:I86"/>
    <mergeCell ref="A1:G1"/>
    <mergeCell ref="B2:D2"/>
    <mergeCell ref="E2:G2"/>
    <mergeCell ref="B77:D84"/>
    <mergeCell ref="F77:I84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93"/>
  <sheetViews>
    <sheetView topLeftCell="A40" workbookViewId="0">
      <selection activeCell="K37" sqref="K37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973" t="s">
        <v>230</v>
      </c>
      <c r="B1" s="974"/>
      <c r="C1" s="974"/>
      <c r="D1" s="974"/>
      <c r="G1" s="275"/>
      <c r="H1" s="276" t="s">
        <v>231</v>
      </c>
      <c r="I1" s="276"/>
      <c r="J1" s="275"/>
      <c r="K1" s="275"/>
    </row>
    <row r="2" spans="1:12" ht="39" thickBot="1" x14ac:dyDescent="0.25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 x14ac:dyDescent="0.2">
      <c r="A3" s="241">
        <v>43101</v>
      </c>
      <c r="B3" s="315">
        <v>6476953</v>
      </c>
      <c r="C3" s="243">
        <v>6542879</v>
      </c>
      <c r="D3" s="390">
        <v>65926</v>
      </c>
      <c r="E3" s="243">
        <v>65927.77</v>
      </c>
      <c r="F3" s="488">
        <v>-1.7700000000040745</v>
      </c>
      <c r="G3" s="48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490">
        <v>72799</v>
      </c>
    </row>
    <row r="4" spans="1:12" x14ac:dyDescent="0.2">
      <c r="A4" s="241">
        <v>43132</v>
      </c>
      <c r="B4" s="315">
        <f t="shared" ref="B4:B67" si="0">C3</f>
        <v>6542879</v>
      </c>
      <c r="C4" s="243">
        <v>6604433</v>
      </c>
      <c r="D4" s="390">
        <f t="shared" ref="D4:D67" si="1">C4-B4</f>
        <v>61554</v>
      </c>
      <c r="E4" s="302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3">
        <v>66652</v>
      </c>
      <c r="I4" s="270">
        <f t="shared" ref="I4:I67" si="4">H4-G4</f>
        <v>6889</v>
      </c>
      <c r="J4" s="243">
        <v>6890.89</v>
      </c>
      <c r="K4" s="277">
        <f t="shared" ref="K4:K67" si="5">I4-J4</f>
        <v>-1.8900000000003274</v>
      </c>
      <c r="L4" s="490">
        <f t="shared" ref="L4:L67" si="6">I4+D4</f>
        <v>68443</v>
      </c>
    </row>
    <row r="5" spans="1:12" x14ac:dyDescent="0.2">
      <c r="A5" s="241">
        <v>43160</v>
      </c>
      <c r="B5" s="315">
        <f t="shared" si="0"/>
        <v>6604433</v>
      </c>
      <c r="C5" s="271">
        <v>6660226</v>
      </c>
      <c r="D5" s="390">
        <f t="shared" si="1"/>
        <v>55793</v>
      </c>
      <c r="E5" s="271">
        <v>55792.75</v>
      </c>
      <c r="F5" s="488">
        <f t="shared" si="2"/>
        <v>0.25</v>
      </c>
      <c r="G5" s="48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490">
        <f t="shared" si="6"/>
        <v>66748</v>
      </c>
    </row>
    <row r="6" spans="1:12" x14ac:dyDescent="0.2">
      <c r="A6" s="241">
        <v>43191</v>
      </c>
      <c r="B6" s="315">
        <f t="shared" si="0"/>
        <v>6660226</v>
      </c>
      <c r="C6" s="243">
        <v>6714539</v>
      </c>
      <c r="D6" s="390">
        <f t="shared" si="1"/>
        <v>54313</v>
      </c>
      <c r="E6" s="271">
        <v>54312.28</v>
      </c>
      <c r="F6" s="488">
        <f t="shared" si="2"/>
        <v>0.72000000000116415</v>
      </c>
      <c r="G6" s="48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490">
        <f t="shared" si="6"/>
        <v>58977</v>
      </c>
    </row>
    <row r="7" spans="1:12" x14ac:dyDescent="0.2">
      <c r="A7" s="264">
        <v>43221</v>
      </c>
      <c r="B7" s="315">
        <f t="shared" si="0"/>
        <v>6714539</v>
      </c>
      <c r="C7" s="243">
        <v>6774547</v>
      </c>
      <c r="D7" s="390">
        <f t="shared" si="1"/>
        <v>60008</v>
      </c>
      <c r="E7" s="243">
        <v>60007.47</v>
      </c>
      <c r="F7" s="488">
        <f t="shared" si="2"/>
        <v>0.52999999999883585</v>
      </c>
      <c r="G7" s="48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490">
        <f t="shared" si="6"/>
        <v>66401</v>
      </c>
    </row>
    <row r="8" spans="1:12" x14ac:dyDescent="0.2">
      <c r="A8" s="241">
        <v>43252</v>
      </c>
      <c r="B8" s="315">
        <f t="shared" si="0"/>
        <v>6774547</v>
      </c>
      <c r="C8" s="243">
        <v>6845214</v>
      </c>
      <c r="D8" s="390">
        <f t="shared" si="1"/>
        <v>70667</v>
      </c>
      <c r="E8" s="243">
        <v>70666.289999999994</v>
      </c>
      <c r="F8" s="488">
        <f t="shared" si="2"/>
        <v>0.71000000000640284</v>
      </c>
      <c r="G8" s="48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490">
        <f t="shared" si="6"/>
        <v>81686</v>
      </c>
    </row>
    <row r="9" spans="1:12" x14ac:dyDescent="0.2">
      <c r="A9" s="241">
        <v>43282</v>
      </c>
      <c r="B9" s="315">
        <f t="shared" si="0"/>
        <v>6845214</v>
      </c>
      <c r="C9" s="271">
        <v>6921964</v>
      </c>
      <c r="D9" s="390">
        <f t="shared" si="1"/>
        <v>76750</v>
      </c>
      <c r="E9" s="271">
        <v>76750.25</v>
      </c>
      <c r="F9" s="488">
        <f t="shared" si="2"/>
        <v>-0.25</v>
      </c>
      <c r="G9" s="48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490">
        <f t="shared" si="6"/>
        <v>85003</v>
      </c>
    </row>
    <row r="10" spans="1:12" x14ac:dyDescent="0.2">
      <c r="A10" s="241">
        <v>43313</v>
      </c>
      <c r="B10" s="315">
        <f t="shared" si="0"/>
        <v>6921964</v>
      </c>
      <c r="C10" s="271">
        <v>7001142</v>
      </c>
      <c r="D10" s="390">
        <f t="shared" si="1"/>
        <v>79178</v>
      </c>
      <c r="E10" s="271">
        <v>79179.56</v>
      </c>
      <c r="F10" s="488">
        <f t="shared" si="2"/>
        <v>-1.5599999999976717</v>
      </c>
      <c r="G10" s="48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490">
        <f t="shared" si="6"/>
        <v>87972</v>
      </c>
    </row>
    <row r="11" spans="1:12" x14ac:dyDescent="0.2">
      <c r="A11" s="241">
        <v>43344</v>
      </c>
      <c r="B11" s="315">
        <f t="shared" si="0"/>
        <v>7001142</v>
      </c>
      <c r="C11" s="271">
        <v>7074217</v>
      </c>
      <c r="D11" s="390">
        <f t="shared" si="1"/>
        <v>73075</v>
      </c>
      <c r="E11" s="271">
        <v>73076.960000000006</v>
      </c>
      <c r="F11" s="488">
        <f t="shared" si="2"/>
        <v>-1.9600000000064028</v>
      </c>
      <c r="G11" s="48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490">
        <f t="shared" si="6"/>
        <v>83691</v>
      </c>
    </row>
    <row r="12" spans="1:12" x14ac:dyDescent="0.2">
      <c r="A12" s="241">
        <v>43374</v>
      </c>
      <c r="B12" s="315">
        <f t="shared" si="0"/>
        <v>7074217</v>
      </c>
      <c r="C12" s="243">
        <v>7154506</v>
      </c>
      <c r="D12" s="390">
        <f t="shared" si="1"/>
        <v>80289</v>
      </c>
      <c r="E12" s="243">
        <v>80287.839999999997</v>
      </c>
      <c r="F12" s="488">
        <f t="shared" si="2"/>
        <v>1.1600000000034925</v>
      </c>
      <c r="G12" s="48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490">
        <f t="shared" si="6"/>
        <v>87783</v>
      </c>
    </row>
    <row r="13" spans="1:12" x14ac:dyDescent="0.2">
      <c r="A13" s="241">
        <v>43405</v>
      </c>
      <c r="B13" s="315">
        <f t="shared" si="0"/>
        <v>7154506</v>
      </c>
      <c r="C13" s="243">
        <v>7225359</v>
      </c>
      <c r="D13" s="390">
        <f t="shared" si="1"/>
        <v>70853</v>
      </c>
      <c r="E13" s="243">
        <v>70852.88</v>
      </c>
      <c r="F13" s="488">
        <f t="shared" si="2"/>
        <v>0.11999999999534339</v>
      </c>
      <c r="G13" s="48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490">
        <f t="shared" si="6"/>
        <v>81315</v>
      </c>
    </row>
    <row r="14" spans="1:12" x14ac:dyDescent="0.2">
      <c r="A14" s="241">
        <v>43435</v>
      </c>
      <c r="B14" s="315">
        <f t="shared" si="0"/>
        <v>7225359</v>
      </c>
      <c r="C14" s="243">
        <v>7296581</v>
      </c>
      <c r="D14" s="390">
        <f t="shared" si="1"/>
        <v>71222</v>
      </c>
      <c r="E14" s="243">
        <v>71221.22</v>
      </c>
      <c r="F14" s="488">
        <f t="shared" si="2"/>
        <v>0.77999999999883585</v>
      </c>
      <c r="G14" s="48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490">
        <f t="shared" si="6"/>
        <v>80919</v>
      </c>
    </row>
    <row r="15" spans="1:12" x14ac:dyDescent="0.2">
      <c r="A15" s="241">
        <v>43466</v>
      </c>
      <c r="B15" s="315">
        <f t="shared" si="0"/>
        <v>7296581</v>
      </c>
      <c r="C15" s="243">
        <v>7366625</v>
      </c>
      <c r="D15" s="390">
        <f t="shared" si="1"/>
        <v>70044</v>
      </c>
      <c r="E15" s="243">
        <v>70042.86</v>
      </c>
      <c r="F15" s="488">
        <f t="shared" si="2"/>
        <v>1.1399999999994179</v>
      </c>
      <c r="G15" s="48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490">
        <f t="shared" si="6"/>
        <v>76148</v>
      </c>
    </row>
    <row r="16" spans="1:12" x14ac:dyDescent="0.2">
      <c r="A16" s="241">
        <v>43497</v>
      </c>
      <c r="B16" s="315">
        <f t="shared" si="0"/>
        <v>7366625</v>
      </c>
      <c r="C16" s="243">
        <v>7427612</v>
      </c>
      <c r="D16" s="390">
        <f t="shared" si="1"/>
        <v>60987</v>
      </c>
      <c r="E16" s="243">
        <v>60986.27</v>
      </c>
      <c r="F16" s="488">
        <f t="shared" si="2"/>
        <v>0.73000000000320142</v>
      </c>
      <c r="G16" s="48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490">
        <f t="shared" si="6"/>
        <v>67668</v>
      </c>
    </row>
    <row r="17" spans="1:12" x14ac:dyDescent="0.2">
      <c r="A17" s="241">
        <v>43525</v>
      </c>
      <c r="B17" s="315">
        <f t="shared" si="0"/>
        <v>7427612</v>
      </c>
      <c r="C17" s="243">
        <v>7494502</v>
      </c>
      <c r="D17" s="390">
        <f t="shared" si="1"/>
        <v>66890</v>
      </c>
      <c r="E17" s="243">
        <v>66888.649999999994</v>
      </c>
      <c r="F17" s="488">
        <f t="shared" si="2"/>
        <v>1.3500000000058208</v>
      </c>
      <c r="G17" s="48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490">
        <f t="shared" si="6"/>
        <v>77559</v>
      </c>
    </row>
    <row r="18" spans="1:12" x14ac:dyDescent="0.2">
      <c r="A18" s="241">
        <v>43556</v>
      </c>
      <c r="B18" s="315">
        <f t="shared" si="0"/>
        <v>7494502</v>
      </c>
      <c r="C18" s="243">
        <v>7567839</v>
      </c>
      <c r="D18" s="390">
        <f t="shared" si="1"/>
        <v>73337</v>
      </c>
      <c r="E18" s="243">
        <v>73336.570000000007</v>
      </c>
      <c r="F18" s="488">
        <f t="shared" si="2"/>
        <v>0.42999999999301508</v>
      </c>
      <c r="G18" s="48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490">
        <f t="shared" si="6"/>
        <v>80752</v>
      </c>
    </row>
    <row r="19" spans="1:12" x14ac:dyDescent="0.2">
      <c r="A19" s="241">
        <v>43586</v>
      </c>
      <c r="B19" s="315">
        <f t="shared" si="0"/>
        <v>7567839</v>
      </c>
      <c r="C19" s="243">
        <v>7635177</v>
      </c>
      <c r="D19" s="390">
        <f t="shared" si="1"/>
        <v>67338</v>
      </c>
      <c r="E19" s="243">
        <v>67338.48</v>
      </c>
      <c r="F19" s="488">
        <f t="shared" si="2"/>
        <v>-0.47999999999592546</v>
      </c>
      <c r="G19" s="48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490">
        <f t="shared" si="6"/>
        <v>73050</v>
      </c>
    </row>
    <row r="20" spans="1:12" x14ac:dyDescent="0.2">
      <c r="A20" s="241">
        <v>43617</v>
      </c>
      <c r="B20" s="315">
        <f t="shared" si="0"/>
        <v>7635177</v>
      </c>
      <c r="C20" s="243">
        <v>7705814</v>
      </c>
      <c r="D20" s="390">
        <f t="shared" si="1"/>
        <v>70637</v>
      </c>
      <c r="E20" s="243">
        <v>70631.199999999997</v>
      </c>
      <c r="F20" s="488">
        <f>D20-E20</f>
        <v>5.8000000000029104</v>
      </c>
      <c r="G20" s="48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490">
        <f t="shared" si="6"/>
        <v>77967</v>
      </c>
    </row>
    <row r="21" spans="1:12" x14ac:dyDescent="0.2">
      <c r="A21" s="241">
        <v>43647</v>
      </c>
      <c r="B21" s="315">
        <f t="shared" si="0"/>
        <v>7705814</v>
      </c>
      <c r="C21" s="243">
        <v>7789265</v>
      </c>
      <c r="D21" s="390">
        <f t="shared" si="1"/>
        <v>83451</v>
      </c>
      <c r="E21" s="243">
        <v>83450.259999999995</v>
      </c>
      <c r="F21" s="488">
        <f t="shared" si="2"/>
        <v>0.74000000000523869</v>
      </c>
      <c r="G21" s="48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490">
        <f t="shared" si="6"/>
        <v>92749</v>
      </c>
    </row>
    <row r="22" spans="1:12" x14ac:dyDescent="0.2">
      <c r="A22" s="241">
        <v>43678</v>
      </c>
      <c r="B22" s="315">
        <f t="shared" si="0"/>
        <v>7789265</v>
      </c>
      <c r="C22" s="243">
        <v>7867728</v>
      </c>
      <c r="D22" s="390">
        <f t="shared" si="1"/>
        <v>78463</v>
      </c>
      <c r="E22" s="243">
        <v>78463.600000000006</v>
      </c>
      <c r="F22" s="488">
        <f>D22-E22</f>
        <v>-0.60000000000582077</v>
      </c>
      <c r="G22" s="48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490">
        <f t="shared" si="6"/>
        <v>86460</v>
      </c>
    </row>
    <row r="23" spans="1:12" x14ac:dyDescent="0.2">
      <c r="A23" s="241">
        <v>43709</v>
      </c>
      <c r="B23" s="315">
        <f t="shared" si="0"/>
        <v>7867728</v>
      </c>
      <c r="C23" s="243">
        <v>7937278</v>
      </c>
      <c r="D23" s="390">
        <f t="shared" si="1"/>
        <v>69550</v>
      </c>
      <c r="E23" s="243">
        <v>69549.31</v>
      </c>
      <c r="F23" s="488">
        <f t="shared" si="2"/>
        <v>0.69000000000232831</v>
      </c>
      <c r="G23" s="48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490">
        <f t="shared" si="6"/>
        <v>76540</v>
      </c>
    </row>
    <row r="24" spans="1:12" x14ac:dyDescent="0.2">
      <c r="A24" s="241">
        <v>43739</v>
      </c>
      <c r="B24" s="315">
        <f t="shared" si="0"/>
        <v>7937278</v>
      </c>
      <c r="C24" s="243">
        <v>8009185</v>
      </c>
      <c r="D24" s="390">
        <f t="shared" si="1"/>
        <v>71907</v>
      </c>
      <c r="E24" s="243">
        <v>71906.240000000005</v>
      </c>
      <c r="F24" s="488">
        <f t="shared" si="2"/>
        <v>0.75999999999476131</v>
      </c>
      <c r="G24" s="48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490">
        <f t="shared" si="6"/>
        <v>78614</v>
      </c>
    </row>
    <row r="25" spans="1:12" x14ac:dyDescent="0.2">
      <c r="A25" s="241">
        <v>43770</v>
      </c>
      <c r="B25" s="315">
        <f t="shared" si="0"/>
        <v>8009185</v>
      </c>
      <c r="C25" s="243">
        <v>8069975</v>
      </c>
      <c r="D25" s="390">
        <f t="shared" si="1"/>
        <v>60790</v>
      </c>
      <c r="E25" s="243">
        <v>60788.44</v>
      </c>
      <c r="F25" s="488">
        <f t="shared" si="2"/>
        <v>1.5599999999976717</v>
      </c>
      <c r="G25" s="48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490">
        <f t="shared" si="6"/>
        <v>66374</v>
      </c>
    </row>
    <row r="26" spans="1:12" x14ac:dyDescent="0.2">
      <c r="A26" s="241">
        <v>43800</v>
      </c>
      <c r="B26" s="315">
        <f t="shared" si="0"/>
        <v>8069975</v>
      </c>
      <c r="C26" s="271">
        <v>8133966</v>
      </c>
      <c r="D26" s="390">
        <f t="shared" si="1"/>
        <v>63991</v>
      </c>
      <c r="E26" s="271">
        <v>63990.63</v>
      </c>
      <c r="F26" s="488">
        <f t="shared" si="2"/>
        <v>0.37000000000261934</v>
      </c>
      <c r="G26" s="48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490">
        <f t="shared" si="6"/>
        <v>74340</v>
      </c>
    </row>
    <row r="27" spans="1:12" x14ac:dyDescent="0.2">
      <c r="A27" s="241">
        <v>43831</v>
      </c>
      <c r="B27" s="315">
        <f t="shared" si="0"/>
        <v>8133966</v>
      </c>
      <c r="C27" s="243">
        <v>8200024</v>
      </c>
      <c r="D27" s="390">
        <f t="shared" si="1"/>
        <v>66058</v>
      </c>
      <c r="E27" s="243">
        <v>66057.75</v>
      </c>
      <c r="F27" s="488">
        <f t="shared" si="2"/>
        <v>0.25</v>
      </c>
      <c r="G27" s="48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490">
        <f t="shared" si="6"/>
        <v>73501</v>
      </c>
    </row>
    <row r="28" spans="1:12" x14ac:dyDescent="0.2">
      <c r="A28" s="241">
        <v>43862</v>
      </c>
      <c r="B28" s="315">
        <f t="shared" si="0"/>
        <v>8200024</v>
      </c>
      <c r="C28" s="243">
        <v>8265856</v>
      </c>
      <c r="D28" s="390">
        <f t="shared" si="1"/>
        <v>65832</v>
      </c>
      <c r="E28" s="243">
        <v>65831.210000000006</v>
      </c>
      <c r="F28" s="488">
        <f t="shared" si="2"/>
        <v>0.78999999999359716</v>
      </c>
      <c r="G28" s="48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490">
        <f t="shared" si="6"/>
        <v>71681</v>
      </c>
    </row>
    <row r="29" spans="1:12" x14ac:dyDescent="0.2">
      <c r="A29" s="241">
        <v>43891</v>
      </c>
      <c r="B29" s="315">
        <f t="shared" si="0"/>
        <v>8265856</v>
      </c>
      <c r="C29" s="243">
        <v>8316467</v>
      </c>
      <c r="D29" s="390">
        <f t="shared" si="1"/>
        <v>50611</v>
      </c>
      <c r="E29" s="243">
        <v>50610.58</v>
      </c>
      <c r="F29" s="488">
        <f t="shared" si="2"/>
        <v>0.41999999999825377</v>
      </c>
      <c r="G29" s="48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490">
        <f t="shared" si="6"/>
        <v>54254</v>
      </c>
    </row>
    <row r="30" spans="1:12" x14ac:dyDescent="0.2">
      <c r="A30" s="241">
        <v>43922</v>
      </c>
      <c r="B30" s="315">
        <f t="shared" si="0"/>
        <v>8316467</v>
      </c>
      <c r="C30" s="271">
        <v>8339290</v>
      </c>
      <c r="D30" s="390">
        <f t="shared" si="1"/>
        <v>22823</v>
      </c>
      <c r="E30" s="271">
        <v>22822.77</v>
      </c>
      <c r="F30" s="488">
        <f t="shared" si="2"/>
        <v>0.22999999999956344</v>
      </c>
      <c r="G30" s="48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490">
        <f t="shared" si="6"/>
        <v>24681</v>
      </c>
    </row>
    <row r="31" spans="1:12" x14ac:dyDescent="0.2">
      <c r="A31" s="241">
        <v>43952</v>
      </c>
      <c r="B31" s="315">
        <f t="shared" si="0"/>
        <v>8339290</v>
      </c>
      <c r="C31" s="243">
        <v>8359648</v>
      </c>
      <c r="D31" s="390">
        <f t="shared" si="1"/>
        <v>20358</v>
      </c>
      <c r="E31" s="243">
        <v>20357.990000000002</v>
      </c>
      <c r="F31" s="488">
        <f t="shared" si="2"/>
        <v>9.9999999983992893E-3</v>
      </c>
      <c r="G31" s="48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490">
        <f t="shared" si="6"/>
        <v>21308</v>
      </c>
    </row>
    <row r="32" spans="1:12" x14ac:dyDescent="0.2">
      <c r="A32" s="241">
        <v>43983</v>
      </c>
      <c r="B32" s="315">
        <f t="shared" si="0"/>
        <v>8359648</v>
      </c>
      <c r="C32" s="243">
        <v>8379633</v>
      </c>
      <c r="D32" s="390">
        <f t="shared" si="1"/>
        <v>19985</v>
      </c>
      <c r="E32" s="243">
        <v>19986.830000000002</v>
      </c>
      <c r="F32" s="488">
        <f t="shared" si="2"/>
        <v>-1.8300000000017462</v>
      </c>
      <c r="G32" s="48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490">
        <f t="shared" si="6"/>
        <v>20652</v>
      </c>
    </row>
    <row r="33" spans="1:12" x14ac:dyDescent="0.2">
      <c r="A33" s="241">
        <v>44013</v>
      </c>
      <c r="B33" s="315">
        <f t="shared" si="0"/>
        <v>8379633</v>
      </c>
      <c r="C33" s="243">
        <v>8401424</v>
      </c>
      <c r="D33" s="390">
        <f t="shared" si="1"/>
        <v>21791</v>
      </c>
      <c r="E33" s="243">
        <v>21791.54</v>
      </c>
      <c r="F33" s="488">
        <f t="shared" si="2"/>
        <v>-0.54000000000087311</v>
      </c>
      <c r="G33" s="48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490">
        <f t="shared" si="6"/>
        <v>22974</v>
      </c>
    </row>
    <row r="34" spans="1:12" x14ac:dyDescent="0.2">
      <c r="A34" s="241">
        <v>44044</v>
      </c>
      <c r="B34" s="315">
        <f t="shared" si="0"/>
        <v>8401424</v>
      </c>
      <c r="C34" s="271">
        <v>8425982</v>
      </c>
      <c r="D34" s="390">
        <f t="shared" si="1"/>
        <v>24558</v>
      </c>
      <c r="E34" s="271">
        <v>24556.98</v>
      </c>
      <c r="F34" s="488">
        <f t="shared" si="2"/>
        <v>1.0200000000004366</v>
      </c>
      <c r="G34" s="48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490">
        <f t="shared" si="6"/>
        <v>25842</v>
      </c>
    </row>
    <row r="35" spans="1:12" x14ac:dyDescent="0.2">
      <c r="A35" s="241">
        <v>44075</v>
      </c>
      <c r="B35" s="315">
        <f t="shared" si="0"/>
        <v>8425982</v>
      </c>
      <c r="C35" s="271">
        <v>8454371</v>
      </c>
      <c r="D35" s="390">
        <f t="shared" si="1"/>
        <v>28389</v>
      </c>
      <c r="E35" s="271">
        <v>28390.560000000001</v>
      </c>
      <c r="F35" s="488">
        <f t="shared" si="2"/>
        <v>-1.5600000000013097</v>
      </c>
      <c r="G35" s="48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490">
        <f t="shared" si="6"/>
        <v>30538</v>
      </c>
    </row>
    <row r="36" spans="1:12" x14ac:dyDescent="0.2">
      <c r="A36" s="241">
        <v>44105</v>
      </c>
      <c r="B36" s="315">
        <f t="shared" si="0"/>
        <v>8454371</v>
      </c>
      <c r="C36" s="271">
        <v>8485990</v>
      </c>
      <c r="D36" s="390">
        <f t="shared" si="1"/>
        <v>31619</v>
      </c>
      <c r="E36" s="271">
        <v>31621.57</v>
      </c>
      <c r="F36" s="488">
        <f t="shared" si="2"/>
        <v>-2.569999999999709</v>
      </c>
      <c r="G36" s="489">
        <f t="shared" si="3"/>
        <v>270861</v>
      </c>
      <c r="H36" s="271">
        <v>273623</v>
      </c>
      <c r="I36" s="270">
        <f t="shared" si="4"/>
        <v>2762</v>
      </c>
      <c r="J36" s="271">
        <v>2761.47</v>
      </c>
      <c r="K36" s="277">
        <f t="shared" si="5"/>
        <v>0.53000000000020009</v>
      </c>
      <c r="L36" s="490">
        <f t="shared" si="6"/>
        <v>34381</v>
      </c>
    </row>
    <row r="37" spans="1:12" x14ac:dyDescent="0.2">
      <c r="A37" s="241">
        <v>44136</v>
      </c>
      <c r="B37" s="315">
        <f t="shared" si="0"/>
        <v>8485990</v>
      </c>
      <c r="C37" s="243">
        <v>8516401</v>
      </c>
      <c r="D37" s="390">
        <f t="shared" si="1"/>
        <v>30411</v>
      </c>
      <c r="E37" s="243">
        <v>30411.599999999999</v>
      </c>
      <c r="F37" s="488">
        <f t="shared" si="2"/>
        <v>-0.59999999999854481</v>
      </c>
      <c r="G37" s="489">
        <f t="shared" si="3"/>
        <v>273623</v>
      </c>
      <c r="H37" s="243">
        <v>275204</v>
      </c>
      <c r="I37" s="270">
        <f t="shared" si="4"/>
        <v>1581</v>
      </c>
      <c r="J37" s="243">
        <v>1581.28</v>
      </c>
      <c r="K37" s="277">
        <f t="shared" si="5"/>
        <v>-0.27999999999997272</v>
      </c>
      <c r="L37" s="490">
        <f t="shared" si="6"/>
        <v>31992</v>
      </c>
    </row>
    <row r="38" spans="1:12" x14ac:dyDescent="0.2">
      <c r="A38" s="241">
        <v>44166</v>
      </c>
      <c r="B38" s="315">
        <f t="shared" si="0"/>
        <v>8516401</v>
      </c>
      <c r="C38" s="243"/>
      <c r="D38" s="390">
        <f t="shared" si="1"/>
        <v>-8516401</v>
      </c>
      <c r="E38" s="243"/>
      <c r="F38" s="488">
        <f t="shared" si="2"/>
        <v>-8516401</v>
      </c>
      <c r="G38" s="489">
        <f t="shared" si="3"/>
        <v>275204</v>
      </c>
      <c r="H38" s="243"/>
      <c r="I38" s="270">
        <f t="shared" si="4"/>
        <v>-275204</v>
      </c>
      <c r="J38" s="243"/>
      <c r="K38" s="277">
        <f t="shared" si="5"/>
        <v>-275204</v>
      </c>
      <c r="L38" s="490">
        <f t="shared" si="6"/>
        <v>-8791605</v>
      </c>
    </row>
    <row r="39" spans="1:12" x14ac:dyDescent="0.2">
      <c r="A39" s="241">
        <v>44197</v>
      </c>
      <c r="B39" s="315">
        <f t="shared" si="0"/>
        <v>0</v>
      </c>
      <c r="C39" s="243"/>
      <c r="D39" s="390">
        <f t="shared" si="1"/>
        <v>0</v>
      </c>
      <c r="E39" s="243"/>
      <c r="F39" s="488">
        <f t="shared" si="2"/>
        <v>0</v>
      </c>
      <c r="G39" s="48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490">
        <f t="shared" si="6"/>
        <v>0</v>
      </c>
    </row>
    <row r="40" spans="1:12" x14ac:dyDescent="0.2">
      <c r="A40" s="241">
        <v>44228</v>
      </c>
      <c r="B40" s="315">
        <f t="shared" si="0"/>
        <v>0</v>
      </c>
      <c r="C40" s="243"/>
      <c r="D40" s="390">
        <f t="shared" si="1"/>
        <v>0</v>
      </c>
      <c r="E40" s="243"/>
      <c r="F40" s="488">
        <f t="shared" si="2"/>
        <v>0</v>
      </c>
      <c r="G40" s="48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490">
        <f t="shared" si="6"/>
        <v>0</v>
      </c>
    </row>
    <row r="41" spans="1:12" x14ac:dyDescent="0.2">
      <c r="A41" s="241">
        <v>44256</v>
      </c>
      <c r="B41" s="315">
        <f t="shared" si="0"/>
        <v>0</v>
      </c>
      <c r="C41" s="243"/>
      <c r="D41" s="390">
        <f t="shared" si="1"/>
        <v>0</v>
      </c>
      <c r="E41" s="243"/>
      <c r="F41" s="488">
        <f t="shared" si="2"/>
        <v>0</v>
      </c>
      <c r="G41" s="48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490">
        <f t="shared" si="6"/>
        <v>0</v>
      </c>
    </row>
    <row r="42" spans="1:12" x14ac:dyDescent="0.2">
      <c r="A42" s="241">
        <v>44287</v>
      </c>
      <c r="B42" s="315">
        <f t="shared" si="0"/>
        <v>0</v>
      </c>
      <c r="C42" s="243"/>
      <c r="D42" s="390">
        <f t="shared" si="1"/>
        <v>0</v>
      </c>
      <c r="E42" s="243"/>
      <c r="F42" s="488">
        <f t="shared" si="2"/>
        <v>0</v>
      </c>
      <c r="G42" s="48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490">
        <f t="shared" si="6"/>
        <v>0</v>
      </c>
    </row>
    <row r="43" spans="1:12" x14ac:dyDescent="0.2">
      <c r="A43" s="241">
        <v>44317</v>
      </c>
      <c r="B43" s="315">
        <f t="shared" si="0"/>
        <v>0</v>
      </c>
      <c r="C43" s="243"/>
      <c r="D43" s="390">
        <f t="shared" si="1"/>
        <v>0</v>
      </c>
      <c r="E43" s="243"/>
      <c r="F43" s="488">
        <f t="shared" si="2"/>
        <v>0</v>
      </c>
      <c r="G43" s="48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490">
        <f t="shared" si="6"/>
        <v>0</v>
      </c>
    </row>
    <row r="44" spans="1:12" x14ac:dyDescent="0.2">
      <c r="A44" s="241">
        <v>44348</v>
      </c>
      <c r="B44" s="315">
        <f t="shared" si="0"/>
        <v>0</v>
      </c>
      <c r="C44" s="243"/>
      <c r="D44" s="390">
        <f t="shared" si="1"/>
        <v>0</v>
      </c>
      <c r="E44" s="243"/>
      <c r="F44" s="488">
        <f t="shared" si="2"/>
        <v>0</v>
      </c>
      <c r="G44" s="48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490">
        <f t="shared" si="6"/>
        <v>0</v>
      </c>
    </row>
    <row r="45" spans="1:12" x14ac:dyDescent="0.2">
      <c r="A45" s="241">
        <v>44378</v>
      </c>
      <c r="B45" s="315">
        <f t="shared" si="0"/>
        <v>0</v>
      </c>
      <c r="C45" s="243"/>
      <c r="D45" s="390">
        <f t="shared" si="1"/>
        <v>0</v>
      </c>
      <c r="E45" s="243"/>
      <c r="F45" s="488">
        <f t="shared" si="2"/>
        <v>0</v>
      </c>
      <c r="G45" s="48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490">
        <f t="shared" si="6"/>
        <v>0</v>
      </c>
    </row>
    <row r="46" spans="1:12" x14ac:dyDescent="0.2">
      <c r="A46" s="241">
        <v>44409</v>
      </c>
      <c r="B46" s="315">
        <f t="shared" si="0"/>
        <v>0</v>
      </c>
      <c r="C46" s="243"/>
      <c r="D46" s="390">
        <f t="shared" si="1"/>
        <v>0</v>
      </c>
      <c r="E46" s="243"/>
      <c r="F46" s="488">
        <f t="shared" si="2"/>
        <v>0</v>
      </c>
      <c r="G46" s="48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490">
        <f t="shared" si="6"/>
        <v>0</v>
      </c>
    </row>
    <row r="47" spans="1:12" x14ac:dyDescent="0.2">
      <c r="A47" s="241">
        <v>44440</v>
      </c>
      <c r="B47" s="315">
        <f t="shared" si="0"/>
        <v>0</v>
      </c>
      <c r="C47" s="243"/>
      <c r="D47" s="390">
        <f t="shared" si="1"/>
        <v>0</v>
      </c>
      <c r="E47" s="243"/>
      <c r="F47" s="488">
        <f t="shared" si="2"/>
        <v>0</v>
      </c>
      <c r="G47" s="48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490">
        <f t="shared" si="6"/>
        <v>0</v>
      </c>
    </row>
    <row r="48" spans="1:12" x14ac:dyDescent="0.2">
      <c r="A48" s="241">
        <v>44470</v>
      </c>
      <c r="B48" s="315">
        <f t="shared" si="0"/>
        <v>0</v>
      </c>
      <c r="C48" s="243"/>
      <c r="D48" s="390">
        <f t="shared" si="1"/>
        <v>0</v>
      </c>
      <c r="E48" s="243"/>
      <c r="F48" s="488">
        <f t="shared" si="2"/>
        <v>0</v>
      </c>
      <c r="G48" s="48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490">
        <f t="shared" si="6"/>
        <v>0</v>
      </c>
    </row>
    <row r="49" spans="1:12" x14ac:dyDescent="0.2">
      <c r="A49" s="241">
        <v>44501</v>
      </c>
      <c r="B49" s="315">
        <f t="shared" si="0"/>
        <v>0</v>
      </c>
      <c r="C49" s="243"/>
      <c r="D49" s="390">
        <f t="shared" si="1"/>
        <v>0</v>
      </c>
      <c r="E49" s="243"/>
      <c r="F49" s="488">
        <f t="shared" si="2"/>
        <v>0</v>
      </c>
      <c r="G49" s="48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490">
        <f t="shared" si="6"/>
        <v>0</v>
      </c>
    </row>
    <row r="50" spans="1:12" x14ac:dyDescent="0.2">
      <c r="A50" s="241">
        <v>44531</v>
      </c>
      <c r="B50" s="315">
        <f t="shared" si="0"/>
        <v>0</v>
      </c>
      <c r="C50" s="243"/>
      <c r="D50" s="390">
        <f t="shared" si="1"/>
        <v>0</v>
      </c>
      <c r="E50" s="243"/>
      <c r="F50" s="488">
        <f t="shared" si="2"/>
        <v>0</v>
      </c>
      <c r="G50" s="48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490">
        <f t="shared" si="6"/>
        <v>0</v>
      </c>
    </row>
    <row r="51" spans="1:12" x14ac:dyDescent="0.2">
      <c r="A51" s="241">
        <v>44562</v>
      </c>
      <c r="B51" s="315">
        <f t="shared" si="0"/>
        <v>0</v>
      </c>
      <c r="C51" s="243"/>
      <c r="D51" s="390">
        <f t="shared" si="1"/>
        <v>0</v>
      </c>
      <c r="E51" s="243"/>
      <c r="F51" s="488">
        <f t="shared" si="2"/>
        <v>0</v>
      </c>
      <c r="G51" s="48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490">
        <f t="shared" si="6"/>
        <v>0</v>
      </c>
    </row>
    <row r="52" spans="1:12" x14ac:dyDescent="0.2">
      <c r="A52" s="241">
        <v>44593</v>
      </c>
      <c r="B52" s="315">
        <f t="shared" si="0"/>
        <v>0</v>
      </c>
      <c r="C52" s="243"/>
      <c r="D52" s="390">
        <f t="shared" si="1"/>
        <v>0</v>
      </c>
      <c r="E52" s="243"/>
      <c r="F52" s="488">
        <f t="shared" si="2"/>
        <v>0</v>
      </c>
      <c r="G52" s="48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490">
        <f t="shared" si="6"/>
        <v>0</v>
      </c>
    </row>
    <row r="53" spans="1:12" x14ac:dyDescent="0.2">
      <c r="A53" s="241">
        <v>44621</v>
      </c>
      <c r="B53" s="315">
        <f t="shared" si="0"/>
        <v>0</v>
      </c>
      <c r="C53" s="243"/>
      <c r="D53" s="390">
        <f t="shared" si="1"/>
        <v>0</v>
      </c>
      <c r="E53" s="243"/>
      <c r="F53" s="488">
        <f t="shared" si="2"/>
        <v>0</v>
      </c>
      <c r="G53" s="48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490">
        <f t="shared" si="6"/>
        <v>0</v>
      </c>
    </row>
    <row r="54" spans="1:12" x14ac:dyDescent="0.2">
      <c r="A54" s="241">
        <v>44652</v>
      </c>
      <c r="B54" s="315">
        <f t="shared" si="0"/>
        <v>0</v>
      </c>
      <c r="C54" s="243"/>
      <c r="D54" s="390">
        <f t="shared" si="1"/>
        <v>0</v>
      </c>
      <c r="E54" s="243"/>
      <c r="F54" s="488">
        <f t="shared" si="2"/>
        <v>0</v>
      </c>
      <c r="G54" s="48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490">
        <f t="shared" si="6"/>
        <v>0</v>
      </c>
    </row>
    <row r="55" spans="1:12" x14ac:dyDescent="0.2">
      <c r="A55" s="241">
        <v>44682</v>
      </c>
      <c r="B55" s="315">
        <f t="shared" si="0"/>
        <v>0</v>
      </c>
      <c r="C55" s="243"/>
      <c r="D55" s="390">
        <f t="shared" si="1"/>
        <v>0</v>
      </c>
      <c r="E55" s="243"/>
      <c r="F55" s="488">
        <f t="shared" si="2"/>
        <v>0</v>
      </c>
      <c r="G55" s="48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490">
        <f t="shared" si="6"/>
        <v>0</v>
      </c>
    </row>
    <row r="56" spans="1:12" ht="12.75" customHeight="1" x14ac:dyDescent="0.2">
      <c r="A56" s="241">
        <v>44713</v>
      </c>
      <c r="B56" s="315">
        <f t="shared" si="0"/>
        <v>0</v>
      </c>
      <c r="C56" s="243"/>
      <c r="D56" s="390">
        <f t="shared" si="1"/>
        <v>0</v>
      </c>
      <c r="E56" s="243"/>
      <c r="F56" s="488">
        <f t="shared" si="2"/>
        <v>0</v>
      </c>
      <c r="G56" s="48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490">
        <f t="shared" si="6"/>
        <v>0</v>
      </c>
    </row>
    <row r="57" spans="1:12" ht="13.5" customHeight="1" x14ac:dyDescent="0.2">
      <c r="A57" s="241">
        <v>44743</v>
      </c>
      <c r="B57" s="315">
        <f t="shared" si="0"/>
        <v>0</v>
      </c>
      <c r="C57" s="243"/>
      <c r="D57" s="390">
        <f t="shared" si="1"/>
        <v>0</v>
      </c>
      <c r="E57" s="243"/>
      <c r="F57" s="488">
        <f t="shared" si="2"/>
        <v>0</v>
      </c>
      <c r="G57" s="48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490">
        <f t="shared" si="6"/>
        <v>0</v>
      </c>
    </row>
    <row r="58" spans="1:12" x14ac:dyDescent="0.2">
      <c r="A58" s="241">
        <v>44774</v>
      </c>
      <c r="B58" s="315">
        <f t="shared" si="0"/>
        <v>0</v>
      </c>
      <c r="C58" s="243"/>
      <c r="D58" s="390">
        <f t="shared" si="1"/>
        <v>0</v>
      </c>
      <c r="E58" s="243"/>
      <c r="F58" s="488">
        <f t="shared" si="2"/>
        <v>0</v>
      </c>
      <c r="G58" s="48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490">
        <f t="shared" si="6"/>
        <v>0</v>
      </c>
    </row>
    <row r="59" spans="1:12" x14ac:dyDescent="0.2">
      <c r="A59" s="241">
        <v>44805</v>
      </c>
      <c r="B59" s="315">
        <f t="shared" si="0"/>
        <v>0</v>
      </c>
      <c r="C59" s="243"/>
      <c r="D59" s="390">
        <f t="shared" si="1"/>
        <v>0</v>
      </c>
      <c r="E59" s="243"/>
      <c r="F59" s="488">
        <f t="shared" si="2"/>
        <v>0</v>
      </c>
      <c r="G59" s="48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490">
        <f t="shared" si="6"/>
        <v>0</v>
      </c>
    </row>
    <row r="60" spans="1:12" x14ac:dyDescent="0.2">
      <c r="A60" s="241">
        <v>44835</v>
      </c>
      <c r="B60" s="315">
        <f t="shared" si="0"/>
        <v>0</v>
      </c>
      <c r="C60" s="243"/>
      <c r="D60" s="390">
        <f t="shared" si="1"/>
        <v>0</v>
      </c>
      <c r="E60" s="243"/>
      <c r="F60" s="488">
        <f t="shared" si="2"/>
        <v>0</v>
      </c>
      <c r="G60" s="48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490">
        <f t="shared" si="6"/>
        <v>0</v>
      </c>
    </row>
    <row r="61" spans="1:12" x14ac:dyDescent="0.2">
      <c r="A61" s="241">
        <v>44866</v>
      </c>
      <c r="B61" s="315">
        <f t="shared" si="0"/>
        <v>0</v>
      </c>
      <c r="C61" s="243"/>
      <c r="D61" s="390">
        <f t="shared" si="1"/>
        <v>0</v>
      </c>
      <c r="E61" s="243"/>
      <c r="F61" s="488">
        <f t="shared" si="2"/>
        <v>0</v>
      </c>
      <c r="G61" s="48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490">
        <f t="shared" si="6"/>
        <v>0</v>
      </c>
    </row>
    <row r="62" spans="1:12" x14ac:dyDescent="0.2">
      <c r="A62" s="241">
        <v>44896</v>
      </c>
      <c r="B62" s="315">
        <f t="shared" si="0"/>
        <v>0</v>
      </c>
      <c r="C62" s="243"/>
      <c r="D62" s="390">
        <f t="shared" si="1"/>
        <v>0</v>
      </c>
      <c r="E62" s="243"/>
      <c r="F62" s="488">
        <f t="shared" si="2"/>
        <v>0</v>
      </c>
      <c r="G62" s="48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490">
        <f t="shared" si="6"/>
        <v>0</v>
      </c>
    </row>
    <row r="63" spans="1:12" x14ac:dyDescent="0.2">
      <c r="A63" s="241">
        <v>44562</v>
      </c>
      <c r="B63" s="315">
        <f t="shared" si="0"/>
        <v>0</v>
      </c>
      <c r="C63" s="243"/>
      <c r="D63" s="390">
        <f t="shared" si="1"/>
        <v>0</v>
      </c>
      <c r="E63" s="243"/>
      <c r="F63" s="488">
        <f t="shared" si="2"/>
        <v>0</v>
      </c>
      <c r="G63" s="489">
        <f t="shared" si="3"/>
        <v>0</v>
      </c>
      <c r="H63" s="243"/>
      <c r="I63" s="270">
        <f t="shared" si="4"/>
        <v>0</v>
      </c>
      <c r="J63" s="243"/>
      <c r="K63" s="277">
        <f t="shared" si="5"/>
        <v>0</v>
      </c>
      <c r="L63" s="490">
        <f t="shared" si="6"/>
        <v>0</v>
      </c>
    </row>
    <row r="64" spans="1:12" x14ac:dyDescent="0.2">
      <c r="A64" s="241">
        <v>44593</v>
      </c>
      <c r="B64" s="315">
        <f t="shared" si="0"/>
        <v>0</v>
      </c>
      <c r="C64" s="243"/>
      <c r="D64" s="390">
        <f t="shared" si="1"/>
        <v>0</v>
      </c>
      <c r="E64" s="243"/>
      <c r="F64" s="488">
        <f t="shared" si="2"/>
        <v>0</v>
      </c>
      <c r="G64" s="489">
        <f t="shared" si="3"/>
        <v>0</v>
      </c>
      <c r="H64" s="243"/>
      <c r="I64" s="270">
        <f t="shared" si="4"/>
        <v>0</v>
      </c>
      <c r="J64" s="243"/>
      <c r="K64" s="277">
        <f t="shared" si="5"/>
        <v>0</v>
      </c>
      <c r="L64" s="490">
        <f t="shared" si="6"/>
        <v>0</v>
      </c>
    </row>
    <row r="65" spans="1:12" x14ac:dyDescent="0.2">
      <c r="A65" s="241">
        <v>44621</v>
      </c>
      <c r="B65" s="315">
        <f t="shared" si="0"/>
        <v>0</v>
      </c>
      <c r="C65" s="243"/>
      <c r="D65" s="390">
        <f t="shared" si="1"/>
        <v>0</v>
      </c>
      <c r="E65" s="243"/>
      <c r="F65" s="488">
        <f t="shared" si="2"/>
        <v>0</v>
      </c>
      <c r="G65" s="489">
        <f t="shared" si="3"/>
        <v>0</v>
      </c>
      <c r="H65" s="243"/>
      <c r="I65" s="270">
        <f t="shared" si="4"/>
        <v>0</v>
      </c>
      <c r="J65" s="243"/>
      <c r="K65" s="277">
        <f t="shared" si="5"/>
        <v>0</v>
      </c>
      <c r="L65" s="490">
        <f t="shared" si="6"/>
        <v>0</v>
      </c>
    </row>
    <row r="66" spans="1:12" x14ac:dyDescent="0.2">
      <c r="A66" s="241">
        <v>44652</v>
      </c>
      <c r="B66" s="315">
        <f t="shared" si="0"/>
        <v>0</v>
      </c>
      <c r="C66" s="243"/>
      <c r="D66" s="390">
        <f t="shared" si="1"/>
        <v>0</v>
      </c>
      <c r="E66" s="243"/>
      <c r="F66" s="488">
        <f t="shared" si="2"/>
        <v>0</v>
      </c>
      <c r="G66" s="489">
        <f t="shared" si="3"/>
        <v>0</v>
      </c>
      <c r="H66" s="243"/>
      <c r="I66" s="270">
        <f t="shared" si="4"/>
        <v>0</v>
      </c>
      <c r="J66" s="243"/>
      <c r="K66" s="277">
        <f t="shared" si="5"/>
        <v>0</v>
      </c>
      <c r="L66" s="490">
        <f t="shared" si="6"/>
        <v>0</v>
      </c>
    </row>
    <row r="67" spans="1:12" x14ac:dyDescent="0.2">
      <c r="A67" s="241">
        <v>44682</v>
      </c>
      <c r="B67" s="315">
        <f t="shared" si="0"/>
        <v>0</v>
      </c>
      <c r="C67" s="243"/>
      <c r="D67" s="390">
        <f t="shared" si="1"/>
        <v>0</v>
      </c>
      <c r="E67" s="243"/>
      <c r="F67" s="488">
        <f t="shared" si="2"/>
        <v>0</v>
      </c>
      <c r="G67" s="489">
        <f t="shared" si="3"/>
        <v>0</v>
      </c>
      <c r="H67" s="243"/>
      <c r="I67" s="270">
        <f t="shared" si="4"/>
        <v>0</v>
      </c>
      <c r="J67" s="243"/>
      <c r="K67" s="277">
        <f t="shared" si="5"/>
        <v>0</v>
      </c>
      <c r="L67" s="490">
        <f t="shared" si="6"/>
        <v>0</v>
      </c>
    </row>
    <row r="68" spans="1:12" x14ac:dyDescent="0.2">
      <c r="A68" s="241">
        <v>44713</v>
      </c>
      <c r="B68" s="315">
        <f t="shared" ref="B68:B74" si="7">C67</f>
        <v>0</v>
      </c>
      <c r="C68" s="243"/>
      <c r="D68" s="390">
        <f t="shared" ref="D68:D74" si="8">C68-B68</f>
        <v>0</v>
      </c>
      <c r="E68" s="243"/>
      <c r="F68" s="488">
        <f t="shared" ref="F68:F74" si="9">D68-E68</f>
        <v>0</v>
      </c>
      <c r="G68" s="489">
        <f t="shared" ref="G68:G74" si="10">H67</f>
        <v>0</v>
      </c>
      <c r="H68" s="243"/>
      <c r="I68" s="270">
        <f t="shared" ref="I68:I74" si="11">H68-G68</f>
        <v>0</v>
      </c>
      <c r="J68" s="243"/>
      <c r="K68" s="277">
        <f t="shared" ref="K68:K74" si="12">I68-J68</f>
        <v>0</v>
      </c>
      <c r="L68" s="490">
        <f t="shared" ref="L68:L74" si="13">I68+D68</f>
        <v>0</v>
      </c>
    </row>
    <row r="69" spans="1:12" x14ac:dyDescent="0.2">
      <c r="A69" s="241">
        <v>44743</v>
      </c>
      <c r="B69" s="315">
        <f t="shared" si="7"/>
        <v>0</v>
      </c>
      <c r="C69" s="243"/>
      <c r="D69" s="390">
        <f t="shared" si="8"/>
        <v>0</v>
      </c>
      <c r="E69" s="243"/>
      <c r="F69" s="488">
        <f t="shared" si="9"/>
        <v>0</v>
      </c>
      <c r="G69" s="489">
        <f t="shared" si="10"/>
        <v>0</v>
      </c>
      <c r="H69" s="243"/>
      <c r="I69" s="270">
        <f t="shared" si="11"/>
        <v>0</v>
      </c>
      <c r="J69" s="243"/>
      <c r="K69" s="277">
        <f t="shared" si="12"/>
        <v>0</v>
      </c>
      <c r="L69" s="490">
        <f t="shared" si="13"/>
        <v>0</v>
      </c>
    </row>
    <row r="70" spans="1:12" x14ac:dyDescent="0.2">
      <c r="A70" s="241">
        <v>44774</v>
      </c>
      <c r="B70" s="315">
        <f t="shared" si="7"/>
        <v>0</v>
      </c>
      <c r="C70" s="243"/>
      <c r="D70" s="390">
        <f t="shared" si="8"/>
        <v>0</v>
      </c>
      <c r="E70" s="243"/>
      <c r="F70" s="488">
        <f t="shared" si="9"/>
        <v>0</v>
      </c>
      <c r="G70" s="489">
        <f t="shared" si="10"/>
        <v>0</v>
      </c>
      <c r="H70" s="243"/>
      <c r="I70" s="270">
        <f t="shared" si="11"/>
        <v>0</v>
      </c>
      <c r="J70" s="243"/>
      <c r="K70" s="277">
        <f t="shared" si="12"/>
        <v>0</v>
      </c>
      <c r="L70" s="490">
        <f t="shared" si="13"/>
        <v>0</v>
      </c>
    </row>
    <row r="71" spans="1:12" x14ac:dyDescent="0.2">
      <c r="A71" s="241">
        <v>44805</v>
      </c>
      <c r="B71" s="315">
        <f t="shared" si="7"/>
        <v>0</v>
      </c>
      <c r="C71" s="243"/>
      <c r="D71" s="390">
        <f t="shared" si="8"/>
        <v>0</v>
      </c>
      <c r="E71" s="243"/>
      <c r="F71" s="488">
        <f t="shared" si="9"/>
        <v>0</v>
      </c>
      <c r="G71" s="489">
        <f t="shared" si="10"/>
        <v>0</v>
      </c>
      <c r="H71" s="243"/>
      <c r="I71" s="270">
        <f t="shared" si="11"/>
        <v>0</v>
      </c>
      <c r="J71" s="243"/>
      <c r="K71" s="277">
        <f t="shared" si="12"/>
        <v>0</v>
      </c>
      <c r="L71" s="490">
        <f t="shared" si="13"/>
        <v>0</v>
      </c>
    </row>
    <row r="72" spans="1:12" x14ac:dyDescent="0.2">
      <c r="A72" s="241">
        <v>44835</v>
      </c>
      <c r="B72" s="315">
        <f t="shared" si="7"/>
        <v>0</v>
      </c>
      <c r="C72" s="243"/>
      <c r="D72" s="390">
        <f t="shared" si="8"/>
        <v>0</v>
      </c>
      <c r="E72" s="243"/>
      <c r="F72" s="488">
        <f t="shared" si="9"/>
        <v>0</v>
      </c>
      <c r="G72" s="489">
        <f t="shared" si="10"/>
        <v>0</v>
      </c>
      <c r="H72" s="243"/>
      <c r="I72" s="270">
        <f t="shared" si="11"/>
        <v>0</v>
      </c>
      <c r="J72" s="243"/>
      <c r="K72" s="277">
        <f t="shared" si="12"/>
        <v>0</v>
      </c>
      <c r="L72" s="490">
        <f t="shared" si="13"/>
        <v>0</v>
      </c>
    </row>
    <row r="73" spans="1:12" x14ac:dyDescent="0.2">
      <c r="A73" s="241">
        <v>44866</v>
      </c>
      <c r="B73" s="315">
        <f t="shared" si="7"/>
        <v>0</v>
      </c>
      <c r="C73" s="243"/>
      <c r="D73" s="390">
        <f t="shared" si="8"/>
        <v>0</v>
      </c>
      <c r="E73" s="243"/>
      <c r="F73" s="488">
        <f t="shared" si="9"/>
        <v>0</v>
      </c>
      <c r="G73" s="489">
        <f t="shared" si="10"/>
        <v>0</v>
      </c>
      <c r="H73" s="243"/>
      <c r="I73" s="270">
        <f t="shared" si="11"/>
        <v>0</v>
      </c>
      <c r="J73" s="243"/>
      <c r="K73" s="277">
        <f t="shared" si="12"/>
        <v>0</v>
      </c>
      <c r="L73" s="490">
        <f t="shared" si="13"/>
        <v>0</v>
      </c>
    </row>
    <row r="74" spans="1:12" x14ac:dyDescent="0.2">
      <c r="A74" s="241">
        <v>44896</v>
      </c>
      <c r="B74" s="315">
        <f t="shared" si="7"/>
        <v>0</v>
      </c>
      <c r="C74" s="243"/>
      <c r="D74" s="390">
        <f t="shared" si="8"/>
        <v>0</v>
      </c>
      <c r="E74" s="243"/>
      <c r="F74" s="488">
        <f t="shared" si="9"/>
        <v>0</v>
      </c>
      <c r="G74" s="489">
        <f t="shared" si="10"/>
        <v>0</v>
      </c>
      <c r="H74" s="243"/>
      <c r="I74" s="270">
        <f t="shared" si="11"/>
        <v>0</v>
      </c>
      <c r="J74" s="243"/>
      <c r="K74" s="277">
        <f t="shared" si="12"/>
        <v>0</v>
      </c>
      <c r="L74" s="490">
        <f t="shared" si="13"/>
        <v>0</v>
      </c>
    </row>
    <row r="75" spans="1:12" ht="13.5" thickBot="1" x14ac:dyDescent="0.25"/>
    <row r="76" spans="1:12" x14ac:dyDescent="0.2">
      <c r="B76" s="985"/>
      <c r="C76" s="986"/>
      <c r="D76" s="986"/>
      <c r="E76" s="987"/>
      <c r="H76" s="985"/>
      <c r="I76" s="986"/>
      <c r="J76" s="986"/>
      <c r="K76" s="986"/>
      <c r="L76" s="987"/>
    </row>
    <row r="77" spans="1:12" x14ac:dyDescent="0.2">
      <c r="B77" s="988"/>
      <c r="C77" s="989"/>
      <c r="D77" s="989"/>
      <c r="E77" s="990"/>
      <c r="H77" s="988"/>
      <c r="I77" s="989"/>
      <c r="J77" s="989"/>
      <c r="K77" s="989"/>
      <c r="L77" s="990"/>
    </row>
    <row r="78" spans="1:12" x14ac:dyDescent="0.2">
      <c r="B78" s="988"/>
      <c r="C78" s="989"/>
      <c r="D78" s="989"/>
      <c r="E78" s="990"/>
      <c r="H78" s="988"/>
      <c r="I78" s="989"/>
      <c r="J78" s="989"/>
      <c r="K78" s="989"/>
      <c r="L78" s="990"/>
    </row>
    <row r="79" spans="1:12" x14ac:dyDescent="0.2">
      <c r="B79" s="988"/>
      <c r="C79" s="989"/>
      <c r="D79" s="989"/>
      <c r="E79" s="990"/>
      <c r="H79" s="988"/>
      <c r="I79" s="989"/>
      <c r="J79" s="989"/>
      <c r="K79" s="989"/>
      <c r="L79" s="990"/>
    </row>
    <row r="80" spans="1:12" x14ac:dyDescent="0.2">
      <c r="B80" s="988"/>
      <c r="C80" s="989"/>
      <c r="D80" s="989"/>
      <c r="E80" s="990"/>
      <c r="H80" s="988"/>
      <c r="I80" s="989"/>
      <c r="J80" s="989"/>
      <c r="K80" s="989"/>
      <c r="L80" s="990"/>
    </row>
    <row r="81" spans="2:12" x14ac:dyDescent="0.2">
      <c r="B81" s="988"/>
      <c r="C81" s="989"/>
      <c r="D81" s="989"/>
      <c r="E81" s="990"/>
      <c r="H81" s="988"/>
      <c r="I81" s="989"/>
      <c r="J81" s="989"/>
      <c r="K81" s="989"/>
      <c r="L81" s="990"/>
    </row>
    <row r="82" spans="2:12" x14ac:dyDescent="0.2">
      <c r="B82" s="988"/>
      <c r="C82" s="989"/>
      <c r="D82" s="989"/>
      <c r="E82" s="990"/>
      <c r="H82" s="988"/>
      <c r="I82" s="989"/>
      <c r="J82" s="989"/>
      <c r="K82" s="989"/>
      <c r="L82" s="990"/>
    </row>
    <row r="83" spans="2:12" x14ac:dyDescent="0.2">
      <c r="B83" s="988"/>
      <c r="C83" s="989"/>
      <c r="D83" s="989"/>
      <c r="E83" s="990"/>
      <c r="H83" s="988"/>
      <c r="I83" s="989"/>
      <c r="J83" s="989"/>
      <c r="K83" s="989"/>
      <c r="L83" s="990"/>
    </row>
    <row r="84" spans="2:12" x14ac:dyDescent="0.2">
      <c r="B84" s="988"/>
      <c r="C84" s="989"/>
      <c r="D84" s="989"/>
      <c r="E84" s="990"/>
      <c r="H84" s="988"/>
      <c r="I84" s="989"/>
      <c r="J84" s="989"/>
      <c r="K84" s="989"/>
      <c r="L84" s="990"/>
    </row>
    <row r="85" spans="2:12" x14ac:dyDescent="0.2">
      <c r="B85" s="988"/>
      <c r="C85" s="989"/>
      <c r="D85" s="989"/>
      <c r="E85" s="990"/>
      <c r="H85" s="988"/>
      <c r="I85" s="989"/>
      <c r="J85" s="989"/>
      <c r="K85" s="989"/>
      <c r="L85" s="990"/>
    </row>
    <row r="86" spans="2:12" x14ac:dyDescent="0.2">
      <c r="B86" s="988"/>
      <c r="C86" s="989"/>
      <c r="D86" s="989"/>
      <c r="E86" s="990"/>
      <c r="H86" s="988"/>
      <c r="I86" s="989"/>
      <c r="J86" s="989"/>
      <c r="K86" s="989"/>
      <c r="L86" s="990"/>
    </row>
    <row r="87" spans="2:12" x14ac:dyDescent="0.2">
      <c r="B87" s="988"/>
      <c r="C87" s="989"/>
      <c r="D87" s="989"/>
      <c r="E87" s="990"/>
      <c r="H87" s="988"/>
      <c r="I87" s="989"/>
      <c r="J87" s="989"/>
      <c r="K87" s="989"/>
      <c r="L87" s="990"/>
    </row>
    <row r="88" spans="2:12" x14ac:dyDescent="0.2">
      <c r="B88" s="988"/>
      <c r="C88" s="989"/>
      <c r="D88" s="989"/>
      <c r="E88" s="990"/>
      <c r="H88" s="988"/>
      <c r="I88" s="989"/>
      <c r="J88" s="989"/>
      <c r="K88" s="989"/>
      <c r="L88" s="990"/>
    </row>
    <row r="89" spans="2:12" x14ac:dyDescent="0.2">
      <c r="B89" s="988"/>
      <c r="C89" s="989"/>
      <c r="D89" s="989"/>
      <c r="E89" s="990"/>
      <c r="H89" s="988"/>
      <c r="I89" s="989"/>
      <c r="J89" s="989"/>
      <c r="K89" s="989"/>
      <c r="L89" s="990"/>
    </row>
    <row r="90" spans="2:12" ht="13.5" thickBot="1" x14ac:dyDescent="0.25">
      <c r="B90" s="991"/>
      <c r="C90" s="992"/>
      <c r="D90" s="992"/>
      <c r="E90" s="993"/>
      <c r="H90" s="991"/>
      <c r="I90" s="992"/>
      <c r="J90" s="992"/>
      <c r="K90" s="992"/>
      <c r="L90" s="993"/>
    </row>
    <row r="91" spans="2:12" x14ac:dyDescent="0.2">
      <c r="B91" s="994" t="s">
        <v>312</v>
      </c>
      <c r="C91" s="995"/>
      <c r="D91" s="995"/>
      <c r="E91" s="996"/>
      <c r="H91" s="994" t="s">
        <v>313</v>
      </c>
      <c r="I91" s="995"/>
      <c r="J91" s="995"/>
      <c r="K91" s="995"/>
      <c r="L91" s="996"/>
    </row>
    <row r="92" spans="2:12" x14ac:dyDescent="0.2">
      <c r="B92" s="997"/>
      <c r="C92" s="998"/>
      <c r="D92" s="998"/>
      <c r="E92" s="999"/>
      <c r="H92" s="997"/>
      <c r="I92" s="998"/>
      <c r="J92" s="998"/>
      <c r="K92" s="998"/>
      <c r="L92" s="999"/>
    </row>
    <row r="93" spans="2:12" ht="13.5" thickBot="1" x14ac:dyDescent="0.25">
      <c r="B93" s="1000"/>
      <c r="C93" s="1001"/>
      <c r="D93" s="1001"/>
      <c r="E93" s="1002"/>
      <c r="H93" s="1000"/>
      <c r="I93" s="1001"/>
      <c r="J93" s="1001"/>
      <c r="K93" s="1001"/>
      <c r="L93" s="100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3" workbookViewId="0">
      <selection activeCell="G32" sqref="G32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1003" t="s">
        <v>254</v>
      </c>
      <c r="B1" s="1003"/>
      <c r="C1" s="1003"/>
      <c r="D1" s="1003"/>
      <c r="E1" s="1003"/>
      <c r="F1" s="1003"/>
      <c r="G1" s="1003"/>
      <c r="H1" s="1003"/>
      <c r="I1" s="1003"/>
      <c r="J1" s="1003"/>
    </row>
    <row r="2" spans="1:10" ht="19.5" thickBot="1" x14ac:dyDescent="0.35">
      <c r="A2" s="1012">
        <f>A5</f>
        <v>44136</v>
      </c>
      <c r="B2" s="1013"/>
      <c r="C2" s="1013"/>
      <c r="D2" s="1013"/>
      <c r="E2" s="1013"/>
      <c r="F2" s="1013"/>
      <c r="G2" s="1013"/>
      <c r="H2" s="1013"/>
      <c r="I2" s="1013"/>
      <c r="J2" s="1013"/>
    </row>
    <row r="3" spans="1:10" ht="15.75" thickBot="1" x14ac:dyDescent="0.3">
      <c r="A3" s="1004" t="s">
        <v>7</v>
      </c>
      <c r="B3" s="1006" t="s">
        <v>255</v>
      </c>
      <c r="C3" s="439"/>
      <c r="D3" s="1008" t="s">
        <v>256</v>
      </c>
      <c r="E3" s="1009"/>
      <c r="F3" s="1010" t="s">
        <v>257</v>
      </c>
      <c r="G3" s="1011"/>
      <c r="H3" s="1009"/>
      <c r="I3" s="1010" t="s">
        <v>258</v>
      </c>
      <c r="J3" s="1009"/>
    </row>
    <row r="4" spans="1:10" ht="30.75" thickBot="1" x14ac:dyDescent="0.3">
      <c r="A4" s="1005"/>
      <c r="B4" s="1007"/>
      <c r="C4" s="445" t="s">
        <v>303</v>
      </c>
      <c r="D4" s="391" t="s">
        <v>259</v>
      </c>
      <c r="E4" s="396" t="s">
        <v>3</v>
      </c>
      <c r="F4" s="391" t="s">
        <v>259</v>
      </c>
      <c r="G4" s="391" t="s">
        <v>260</v>
      </c>
      <c r="H4" s="391" t="s">
        <v>261</v>
      </c>
      <c r="I4" s="391" t="s">
        <v>17</v>
      </c>
      <c r="J4" s="391" t="s">
        <v>262</v>
      </c>
    </row>
    <row r="5" spans="1:10" ht="17.100000000000001" customHeight="1" x14ac:dyDescent="0.25">
      <c r="A5" s="218">
        <f>Gen!B11</f>
        <v>44136</v>
      </c>
      <c r="B5" s="398">
        <f>Gen!C11</f>
        <v>2.5999999999999999E-2</v>
      </c>
      <c r="C5" s="443">
        <f>Gen!AK11</f>
        <v>0</v>
      </c>
      <c r="D5" s="444">
        <f>Gen!T11</f>
        <v>956.05</v>
      </c>
      <c r="E5" s="393">
        <f>Gen!D11</f>
        <v>32519.1</v>
      </c>
      <c r="F5" s="394">
        <f>'Water-Meter'!E6</f>
        <v>54</v>
      </c>
      <c r="G5" s="395">
        <f>'Water-Meter'!AN6</f>
        <v>42</v>
      </c>
      <c r="H5" s="393">
        <f>'Utility report '!AC6</f>
        <v>41</v>
      </c>
      <c r="I5" s="392">
        <f>'Kit report'!F4</f>
        <v>203.99999999986903</v>
      </c>
      <c r="J5" s="393">
        <f>'Kit report'!X4</f>
        <v>139.99999999996362</v>
      </c>
    </row>
    <row r="6" spans="1:10" ht="17.100000000000001" customHeight="1" x14ac:dyDescent="0.25">
      <c r="A6" s="218">
        <f>Gen!B12</f>
        <v>44137</v>
      </c>
      <c r="B6" s="397">
        <f>Gen!C12</f>
        <v>5.1900000000000002E-2</v>
      </c>
      <c r="C6" s="443">
        <f>Gen!AK12</f>
        <v>21.62</v>
      </c>
      <c r="D6" s="444">
        <f>Gen!T12</f>
        <v>1107.92</v>
      </c>
      <c r="E6" s="393">
        <f>Gen!D12</f>
        <v>31563.05</v>
      </c>
      <c r="F6" s="394">
        <f>'Water-Meter'!E7</f>
        <v>48</v>
      </c>
      <c r="G6" s="395">
        <f>'Water-Meter'!AN7</f>
        <v>103</v>
      </c>
      <c r="H6" s="393">
        <f>'Utility report '!AC7</f>
        <v>48</v>
      </c>
      <c r="I6" s="392">
        <f>'Kit report'!F5</f>
        <v>216.00000000013097</v>
      </c>
      <c r="J6" s="393">
        <f>'Kit report'!X5</f>
        <v>220.00000000007276</v>
      </c>
    </row>
    <row r="7" spans="1:10" ht="17.100000000000001" customHeight="1" x14ac:dyDescent="0.25">
      <c r="A7" s="218">
        <f>Gen!B13</f>
        <v>44138</v>
      </c>
      <c r="B7" s="397">
        <f>Gen!C13</f>
        <v>7.7899999999999997E-2</v>
      </c>
      <c r="C7" s="443">
        <f>Gen!AK13</f>
        <v>38.269999999999996</v>
      </c>
      <c r="D7" s="444">
        <f>Gen!T13</f>
        <v>1164.9899999999998</v>
      </c>
      <c r="E7" s="393">
        <f>Gen!D13</f>
        <v>30433.51</v>
      </c>
      <c r="F7" s="394">
        <f>'Water-Meter'!E8</f>
        <v>81</v>
      </c>
      <c r="G7" s="395">
        <f>'Water-Meter'!AN8</f>
        <v>155</v>
      </c>
      <c r="H7" s="393">
        <f>'Utility report '!AC8</f>
        <v>48</v>
      </c>
      <c r="I7" s="392">
        <f>'Kit report'!F6</f>
        <v>215.99999999991269</v>
      </c>
      <c r="J7" s="393">
        <f>'Kit report'!X6</f>
        <v>100</v>
      </c>
    </row>
    <row r="8" spans="1:10" ht="17.100000000000001" customHeight="1" x14ac:dyDescent="0.25">
      <c r="A8" s="218">
        <f>Gen!B14</f>
        <v>44139</v>
      </c>
      <c r="B8" s="397">
        <f>Gen!C14</f>
        <v>6.4899999999999999E-2</v>
      </c>
      <c r="C8" s="443">
        <f>Gen!AK14</f>
        <v>51.1</v>
      </c>
      <c r="D8" s="444">
        <f>Gen!T14</f>
        <v>1046.3499999999999</v>
      </c>
      <c r="E8" s="393">
        <f>Gen!D14</f>
        <v>47230.25</v>
      </c>
      <c r="F8" s="394">
        <f>'Water-Meter'!E9</f>
        <v>50</v>
      </c>
      <c r="G8" s="395">
        <f>'Water-Meter'!AN9</f>
        <v>169</v>
      </c>
      <c r="H8" s="393">
        <f>'Utility report '!AC9</f>
        <v>77</v>
      </c>
      <c r="I8" s="392">
        <f>'Kit report'!F7</f>
        <v>227.99999999995634</v>
      </c>
      <c r="J8" s="393">
        <f>'Kit report'!X7</f>
        <v>60.00000000003638</v>
      </c>
    </row>
    <row r="9" spans="1:10" ht="17.100000000000001" customHeight="1" x14ac:dyDescent="0.25">
      <c r="A9" s="218">
        <f>Gen!B15</f>
        <v>44140</v>
      </c>
      <c r="B9" s="397">
        <f>Gen!C15</f>
        <v>2.5999999999999999E-2</v>
      </c>
      <c r="C9" s="443">
        <f>Gen!AK15</f>
        <v>60.15</v>
      </c>
      <c r="D9" s="444">
        <f>Gen!T15</f>
        <v>1058.1999999999998</v>
      </c>
      <c r="E9" s="393">
        <f>Gen!D15</f>
        <v>46132.800000000003</v>
      </c>
      <c r="F9" s="394">
        <f>'Water-Meter'!E10</f>
        <v>58</v>
      </c>
      <c r="G9" s="395">
        <f>'Water-Meter'!AN10</f>
        <v>119</v>
      </c>
      <c r="H9" s="393">
        <f>'Utility report '!AC10</f>
        <v>13</v>
      </c>
      <c r="I9" s="392">
        <f>'Kit report'!F8</f>
        <v>167.99999999995634</v>
      </c>
      <c r="J9" s="393">
        <f>'Kit report'!X8</f>
        <v>160.00000000003638</v>
      </c>
    </row>
    <row r="10" spans="1:10" ht="17.100000000000001" customHeight="1" x14ac:dyDescent="0.25">
      <c r="A10" s="218">
        <f>Gen!B16</f>
        <v>44141</v>
      </c>
      <c r="B10" s="397">
        <f>Gen!C16</f>
        <v>6.4899999999999999E-2</v>
      </c>
      <c r="C10" s="443">
        <f>Gen!AK16</f>
        <v>92</v>
      </c>
      <c r="D10" s="444">
        <f>Gen!T16</f>
        <v>989.81999999999994</v>
      </c>
      <c r="E10" s="393">
        <f>Gen!D16</f>
        <v>45014.450000000004</v>
      </c>
      <c r="F10" s="394">
        <f>'Water-Meter'!E11</f>
        <v>62</v>
      </c>
      <c r="G10" s="395">
        <f>'Water-Meter'!AN11</f>
        <v>34</v>
      </c>
      <c r="H10" s="393">
        <f>'Utility report '!AC11</f>
        <v>47</v>
      </c>
      <c r="I10" s="392">
        <f>'Kit report'!F9</f>
        <v>240</v>
      </c>
      <c r="J10" s="393">
        <f>'Kit report'!X9</f>
        <v>39.99999999996362</v>
      </c>
    </row>
    <row r="11" spans="1:10" ht="17.100000000000001" customHeight="1" x14ac:dyDescent="0.25">
      <c r="A11" s="218">
        <f>Gen!B17</f>
        <v>44142</v>
      </c>
      <c r="B11" s="397">
        <f>Gen!C17</f>
        <v>5.1900000000000002E-2</v>
      </c>
      <c r="C11" s="443">
        <f>Gen!AK17</f>
        <v>8.4</v>
      </c>
      <c r="D11" s="444">
        <f>Gen!T17</f>
        <v>952.55</v>
      </c>
      <c r="E11" s="393">
        <f>Gen!D17</f>
        <v>43932.630000000005</v>
      </c>
      <c r="F11" s="394">
        <f>'Water-Meter'!E12</f>
        <v>83</v>
      </c>
      <c r="G11" s="395">
        <f>'Water-Meter'!AN12</f>
        <v>114</v>
      </c>
      <c r="H11" s="393">
        <f>'Utility report '!AC12</f>
        <v>45</v>
      </c>
      <c r="I11" s="392">
        <f>'Kit report'!F10</f>
        <v>132.00000000004366</v>
      </c>
      <c r="J11" s="393">
        <f>'Kit report'!X10</f>
        <v>160.00000000003638</v>
      </c>
    </row>
    <row r="12" spans="1:10" ht="17.100000000000001" customHeight="1" x14ac:dyDescent="0.25">
      <c r="A12" s="218">
        <f>Gen!B18</f>
        <v>44143</v>
      </c>
      <c r="B12" s="397">
        <f>Gen!C18</f>
        <v>0</v>
      </c>
      <c r="C12" s="443">
        <f>Gen!AK18</f>
        <v>0</v>
      </c>
      <c r="D12" s="444">
        <f>Gen!T18</f>
        <v>1024.56</v>
      </c>
      <c r="E12" s="393">
        <f>Gen!D18</f>
        <v>42971.680000000008</v>
      </c>
      <c r="F12" s="394">
        <f>'Water-Meter'!E13</f>
        <v>63</v>
      </c>
      <c r="G12" s="395">
        <f>'Water-Meter'!AN13</f>
        <v>197</v>
      </c>
      <c r="H12" s="393">
        <f>'Utility report '!AC13</f>
        <v>51</v>
      </c>
      <c r="I12" s="392">
        <f>'Kit report'!F11</f>
        <v>156.00000000013097</v>
      </c>
      <c r="J12" s="393">
        <f>'Kit report'!X11</f>
        <v>119.99999999989086</v>
      </c>
    </row>
    <row r="13" spans="1:10" ht="17.100000000000001" customHeight="1" x14ac:dyDescent="0.25">
      <c r="A13" s="218">
        <f>Gen!B19</f>
        <v>44144</v>
      </c>
      <c r="B13" s="397">
        <f>Gen!C19</f>
        <v>1.2999999999999999E-2</v>
      </c>
      <c r="C13" s="443">
        <f>Gen!AK19</f>
        <v>44.3</v>
      </c>
      <c r="D13" s="444">
        <f>Gen!T19</f>
        <v>1047.8499999999999</v>
      </c>
      <c r="E13" s="393">
        <f>Gen!D19</f>
        <v>41947.12000000001</v>
      </c>
      <c r="F13" s="394">
        <f>'Water-Meter'!E14</f>
        <v>46</v>
      </c>
      <c r="G13" s="395">
        <f>'Water-Meter'!AN14</f>
        <v>163</v>
      </c>
      <c r="H13" s="393">
        <f>'Utility report '!AC14</f>
        <v>47</v>
      </c>
      <c r="I13" s="392">
        <f>'Kit report'!F12</f>
        <v>191.99999999982538</v>
      </c>
      <c r="J13" s="393">
        <f>'Kit report'!X12</f>
        <v>120.00000000007276</v>
      </c>
    </row>
    <row r="14" spans="1:10" ht="17.100000000000001" customHeight="1" x14ac:dyDescent="0.25">
      <c r="A14" s="218">
        <f>Gen!B20</f>
        <v>44145</v>
      </c>
      <c r="B14" s="397">
        <f>Gen!C20</f>
        <v>3.9E-2</v>
      </c>
      <c r="C14" s="443">
        <f>Gen!AK20</f>
        <v>48.74</v>
      </c>
      <c r="D14" s="444">
        <f>Gen!T20</f>
        <v>933.25</v>
      </c>
      <c r="E14" s="393">
        <f>Gen!D20</f>
        <v>40854.970000000008</v>
      </c>
      <c r="F14" s="394">
        <f>'Water-Meter'!E15</f>
        <v>53</v>
      </c>
      <c r="G14" s="395">
        <f>'Water-Meter'!AN15</f>
        <v>182</v>
      </c>
      <c r="H14" s="393">
        <f>'Utility report '!AC15</f>
        <v>49</v>
      </c>
      <c r="I14" s="392">
        <f>'Kit report'!F13</f>
        <v>192.00000000004366</v>
      </c>
      <c r="J14" s="393">
        <f>'Kit report'!X13</f>
        <v>100</v>
      </c>
    </row>
    <row r="15" spans="1:10" ht="17.100000000000001" customHeight="1" x14ac:dyDescent="0.25">
      <c r="A15" s="218">
        <f>Gen!B21</f>
        <v>44146</v>
      </c>
      <c r="B15" s="397">
        <f>Gen!C21</f>
        <v>6.4899999999999999E-2</v>
      </c>
      <c r="C15" s="443">
        <f>Gen!AK21</f>
        <v>24.05</v>
      </c>
      <c r="D15" s="444">
        <f>Gen!T21</f>
        <v>942.23</v>
      </c>
      <c r="E15" s="393">
        <f>Gen!D21</f>
        <v>39872.98000000001</v>
      </c>
      <c r="F15" s="394">
        <f>'Water-Meter'!E16</f>
        <v>63</v>
      </c>
      <c r="G15" s="395">
        <f>'Water-Meter'!AN16</f>
        <v>182</v>
      </c>
      <c r="H15" s="393">
        <f>'Utility report '!AC16</f>
        <v>46</v>
      </c>
      <c r="I15" s="392">
        <f>'Kit report'!F14</f>
        <v>204.00000000008731</v>
      </c>
      <c r="J15" s="393">
        <f>'Kit report'!X14</f>
        <v>60.00000000003638</v>
      </c>
    </row>
    <row r="16" spans="1:10" ht="17.100000000000001" customHeight="1" x14ac:dyDescent="0.25">
      <c r="A16" s="218">
        <f>Gen!B22</f>
        <v>44147</v>
      </c>
      <c r="B16" s="397">
        <f>Gen!C22</f>
        <v>0.05</v>
      </c>
      <c r="C16" s="443">
        <f>Gen!AK22</f>
        <v>43.4</v>
      </c>
      <c r="D16" s="444">
        <f>Gen!T22</f>
        <v>1082.96</v>
      </c>
      <c r="E16" s="393">
        <f>Gen!D22</f>
        <v>38906.700000000012</v>
      </c>
      <c r="F16" s="394">
        <f>'Water-Meter'!E17</f>
        <v>48</v>
      </c>
      <c r="G16" s="395">
        <f>'Water-Meter'!AN17</f>
        <v>98</v>
      </c>
      <c r="H16" s="393">
        <f>'Utility report '!AC17</f>
        <v>43</v>
      </c>
      <c r="I16" s="392">
        <f>'Kit report'!F15</f>
        <v>203.99999999986903</v>
      </c>
      <c r="J16" s="393">
        <f>'Kit report'!X15</f>
        <v>200</v>
      </c>
    </row>
    <row r="17" spans="1:10" ht="17.100000000000001" customHeight="1" x14ac:dyDescent="0.25">
      <c r="A17" s="218">
        <f>Gen!B23</f>
        <v>44148</v>
      </c>
      <c r="B17" s="397">
        <f>Gen!C23</f>
        <v>5.1900000000000002E-2</v>
      </c>
      <c r="C17" s="443">
        <f>Gen!AK23</f>
        <v>134</v>
      </c>
      <c r="D17" s="444">
        <f>Gen!T23</f>
        <v>959.29</v>
      </c>
      <c r="E17" s="393">
        <f>Gen!D23</f>
        <v>37780.340000000011</v>
      </c>
      <c r="F17" s="394">
        <f>'Water-Meter'!E18</f>
        <v>62</v>
      </c>
      <c r="G17" s="395">
        <f>'Water-Meter'!AN18</f>
        <v>98</v>
      </c>
      <c r="H17" s="393">
        <f>'Utility report '!AC18</f>
        <v>42</v>
      </c>
      <c r="I17" s="392">
        <f>'Kit report'!F16</f>
        <v>216.00000000013097</v>
      </c>
      <c r="J17" s="393">
        <f>'Kit report'!X16</f>
        <v>79.99999999992724</v>
      </c>
    </row>
    <row r="18" spans="1:10" ht="17.100000000000001" customHeight="1" x14ac:dyDescent="0.25">
      <c r="A18" s="218">
        <f>Gen!B24</f>
        <v>44149</v>
      </c>
      <c r="B18" s="397">
        <f>Gen!C24</f>
        <v>0.18179999999999999</v>
      </c>
      <c r="C18" s="443">
        <f>Gen!AK24</f>
        <v>0</v>
      </c>
      <c r="D18" s="444">
        <f>Gen!T24</f>
        <v>962.89</v>
      </c>
      <c r="E18" s="393">
        <f>Gen!D24</f>
        <v>36687.05000000001</v>
      </c>
      <c r="F18" s="394">
        <f>'Water-Meter'!E19</f>
        <v>52</v>
      </c>
      <c r="G18" s="395">
        <f>'Water-Meter'!AN19</f>
        <v>96</v>
      </c>
      <c r="H18" s="393">
        <f>'Utility report '!AC19</f>
        <v>42</v>
      </c>
      <c r="I18" s="392">
        <f>'Kit report'!F17</f>
        <v>215.99999999991269</v>
      </c>
      <c r="J18" s="393">
        <f>'Kit report'!X17</f>
        <v>139.99999999996362</v>
      </c>
    </row>
    <row r="19" spans="1:10" ht="17.100000000000001" customHeight="1" x14ac:dyDescent="0.25">
      <c r="A19" s="218">
        <f>Gen!B25</f>
        <v>44150</v>
      </c>
      <c r="B19" s="397">
        <f>Gen!C25</f>
        <v>0.1429</v>
      </c>
      <c r="C19" s="443">
        <f>Gen!AK25</f>
        <v>159.26</v>
      </c>
      <c r="D19" s="444">
        <f>Gen!T25</f>
        <v>1055.07</v>
      </c>
      <c r="E19" s="393">
        <f>Gen!D25</f>
        <v>35724.160000000011</v>
      </c>
      <c r="F19" s="394">
        <f>'Water-Meter'!E20</f>
        <v>78</v>
      </c>
      <c r="G19" s="395">
        <f>'Water-Meter'!AN20</f>
        <v>95</v>
      </c>
      <c r="H19" s="393">
        <f>'Utility report '!AC20</f>
        <v>39</v>
      </c>
      <c r="I19" s="392">
        <f>'Kit report'!F18</f>
        <v>227.99999999995634</v>
      </c>
      <c r="J19" s="393">
        <f>'Kit report'!X18</f>
        <v>100</v>
      </c>
    </row>
    <row r="20" spans="1:10" ht="17.100000000000001" customHeight="1" x14ac:dyDescent="0.25">
      <c r="A20" s="218">
        <f>Gen!B26</f>
        <v>44151</v>
      </c>
      <c r="B20" s="397">
        <f>Gen!C26</f>
        <v>0.12989999999999999</v>
      </c>
      <c r="C20" s="443">
        <f>Gen!AK26</f>
        <v>67.510000000000005</v>
      </c>
      <c r="D20" s="444">
        <f>Gen!T26</f>
        <v>1129.6500000000001</v>
      </c>
      <c r="E20" s="393">
        <f>Gen!D26</f>
        <v>34509.830000000009</v>
      </c>
      <c r="F20" s="394">
        <f>'Water-Meter'!E21</f>
        <v>52</v>
      </c>
      <c r="G20" s="395">
        <f>'Water-Meter'!AN21</f>
        <v>95</v>
      </c>
      <c r="H20" s="393">
        <f>'Utility report '!AC21</f>
        <v>37</v>
      </c>
      <c r="I20" s="392">
        <f>'Kit report'!F19</f>
        <v>264.00000000008731</v>
      </c>
      <c r="J20" s="393">
        <f>'Kit report'!X19</f>
        <v>180.00000000010914</v>
      </c>
    </row>
    <row r="21" spans="1:10" ht="15" x14ac:dyDescent="0.25">
      <c r="A21" s="218">
        <f>Gen!B27</f>
        <v>44152</v>
      </c>
      <c r="B21" s="397">
        <f>Gen!C27</f>
        <v>0.03</v>
      </c>
      <c r="C21" s="443">
        <f>Gen!AK27</f>
        <v>0</v>
      </c>
      <c r="D21" s="444">
        <f>Gen!T27</f>
        <v>928.98</v>
      </c>
      <c r="E21" s="393">
        <f>Gen!D27</f>
        <v>33312.670000000006</v>
      </c>
      <c r="F21" s="394">
        <f>'Water-Meter'!E22</f>
        <v>53</v>
      </c>
      <c r="G21" s="395">
        <f>'Water-Meter'!AN22</f>
        <v>53</v>
      </c>
      <c r="H21" s="393">
        <f>'Utility report '!AC22</f>
        <v>32</v>
      </c>
      <c r="I21" s="392">
        <f>'Kit report'!F20</f>
        <v>240</v>
      </c>
      <c r="J21" s="393">
        <f>'Kit report'!X20</f>
        <v>79.99999999992724</v>
      </c>
    </row>
    <row r="22" spans="1:10" ht="15" customHeight="1" x14ac:dyDescent="0.25">
      <c r="A22" s="218">
        <f>Gen!B28</f>
        <v>44153</v>
      </c>
      <c r="B22" s="397">
        <f>Gen!C28</f>
        <v>0.104</v>
      </c>
      <c r="C22" s="443">
        <f>Gen!AK28</f>
        <v>22.59</v>
      </c>
      <c r="D22" s="444">
        <f>Gen!T28</f>
        <v>997.24</v>
      </c>
      <c r="E22" s="393">
        <f>Gen!D28</f>
        <v>47383.69</v>
      </c>
      <c r="F22" s="394">
        <f>'Water-Meter'!E23</f>
        <v>51</v>
      </c>
      <c r="G22" s="395">
        <f>'Water-Meter'!AN23</f>
        <v>79</v>
      </c>
      <c r="H22" s="393">
        <f>'Utility report '!AC23</f>
        <v>28</v>
      </c>
      <c r="I22" s="392">
        <f>'Kit report'!F21</f>
        <v>240</v>
      </c>
      <c r="J22" s="393">
        <f>'Kit report'!X21</f>
        <v>220.00000000007276</v>
      </c>
    </row>
    <row r="23" spans="1:10" ht="15" customHeight="1" x14ac:dyDescent="0.25">
      <c r="A23" s="218">
        <f>Gen!B29</f>
        <v>44154</v>
      </c>
      <c r="B23" s="397">
        <f>Gen!C29</f>
        <v>5.1999999999999998E-2</v>
      </c>
      <c r="C23" s="443">
        <f>Gen!AK29</f>
        <v>78.05</v>
      </c>
      <c r="D23" s="444">
        <f>Gen!T29</f>
        <v>1041.67</v>
      </c>
      <c r="E23" s="393">
        <f>Gen!D29</f>
        <v>46363.86</v>
      </c>
      <c r="F23" s="394">
        <f>'Water-Meter'!E24</f>
        <v>127</v>
      </c>
      <c r="G23" s="395">
        <f>'Water-Meter'!AN24</f>
        <v>161</v>
      </c>
      <c r="H23" s="393">
        <f>'Utility report '!AC24</f>
        <v>25</v>
      </c>
      <c r="I23" s="392">
        <f>'Kit report'!F22</f>
        <v>252.00000000004366</v>
      </c>
      <c r="J23" s="393">
        <f>'Kit report'!X22</f>
        <v>119.99999999989086</v>
      </c>
    </row>
    <row r="24" spans="1:10" ht="15" customHeight="1" x14ac:dyDescent="0.25">
      <c r="A24" s="218">
        <f>Gen!B30</f>
        <v>44155</v>
      </c>
      <c r="B24" s="397">
        <f>Gen!C30</f>
        <v>5.1999999999999998E-2</v>
      </c>
      <c r="C24" s="443">
        <f>Gen!AK30</f>
        <v>0</v>
      </c>
      <c r="D24" s="444">
        <f>Gen!T30</f>
        <v>1005.0600000000001</v>
      </c>
      <c r="E24" s="393">
        <f>Gen!D30</f>
        <v>45244.14</v>
      </c>
      <c r="F24" s="394">
        <f>'Water-Meter'!E25</f>
        <v>46</v>
      </c>
      <c r="G24" s="395">
        <f>'Water-Meter'!AN25</f>
        <v>177</v>
      </c>
      <c r="H24" s="393">
        <f>'Utility report '!AC25</f>
        <v>25</v>
      </c>
      <c r="I24" s="392">
        <f>'Kit report'!F23</f>
        <v>240</v>
      </c>
      <c r="J24" s="393">
        <f>'Kit report'!X23</f>
        <v>80.000000000109139</v>
      </c>
    </row>
    <row r="25" spans="1:10" ht="15" customHeight="1" x14ac:dyDescent="0.25">
      <c r="A25" s="218">
        <f>Gen!B31</f>
        <v>44156</v>
      </c>
      <c r="B25" s="397">
        <f>Gen!C31</f>
        <v>6.5000000000000002E-2</v>
      </c>
      <c r="C25" s="443">
        <f>Gen!AK31</f>
        <v>197.39</v>
      </c>
      <c r="D25" s="444">
        <f>Gen!T31</f>
        <v>1105.44</v>
      </c>
      <c r="E25" s="393">
        <f>Gen!D31</f>
        <v>44239.08</v>
      </c>
      <c r="F25" s="394">
        <f>'Water-Meter'!E26</f>
        <v>47</v>
      </c>
      <c r="G25" s="395">
        <f>'Water-Meter'!AN26</f>
        <v>169</v>
      </c>
      <c r="H25" s="393">
        <f>'Utility report '!AC26</f>
        <v>23</v>
      </c>
      <c r="I25" s="392">
        <f>'Kit report'!F24</f>
        <v>252.00000000004366</v>
      </c>
      <c r="J25" s="393">
        <f>'Kit report'!X24</f>
        <v>200</v>
      </c>
    </row>
    <row r="26" spans="1:10" ht="15" customHeight="1" x14ac:dyDescent="0.25">
      <c r="A26" s="218">
        <f>Gen!B32</f>
        <v>44157</v>
      </c>
      <c r="B26" s="397">
        <f>Gen!C32</f>
        <v>0.1</v>
      </c>
      <c r="C26" s="443">
        <f>Gen!AK32</f>
        <v>9.15</v>
      </c>
      <c r="D26" s="444">
        <f>Gen!T32</f>
        <v>1044.04</v>
      </c>
      <c r="E26" s="393">
        <f>Gen!D32</f>
        <v>42936.25</v>
      </c>
      <c r="F26" s="394">
        <f>'Water-Meter'!E27</f>
        <v>51</v>
      </c>
      <c r="G26" s="395">
        <f>'Water-Meter'!AN27</f>
        <v>196</v>
      </c>
      <c r="H26" s="393">
        <f>'Utility report '!AC27</f>
        <v>0</v>
      </c>
      <c r="I26" s="392">
        <f>'Kit report'!F25</f>
        <v>240</v>
      </c>
      <c r="J26" s="393">
        <f>'Kit report'!X25</f>
        <v>200</v>
      </c>
    </row>
    <row r="27" spans="1:10" ht="15" customHeight="1" x14ac:dyDescent="0.25">
      <c r="A27" s="218">
        <f>Gen!B33</f>
        <v>44158</v>
      </c>
      <c r="B27" s="397">
        <f>Gen!C33</f>
        <v>6.5000000000000002E-2</v>
      </c>
      <c r="C27" s="443">
        <f>Gen!AK33</f>
        <v>0</v>
      </c>
      <c r="D27" s="444">
        <f>Gen!T33</f>
        <v>1074.8399999999999</v>
      </c>
      <c r="E27" s="393">
        <f>Gen!D33</f>
        <v>41883.06</v>
      </c>
      <c r="F27" s="394">
        <f>'Water-Meter'!E28</f>
        <v>61</v>
      </c>
      <c r="G27" s="395">
        <f>'Water-Meter'!AN28</f>
        <v>120</v>
      </c>
      <c r="H27" s="393">
        <f>'Utility report '!AC28</f>
        <v>24</v>
      </c>
      <c r="I27" s="392">
        <f>'Kit report'!F26</f>
        <v>227.99999999995634</v>
      </c>
      <c r="J27" s="393">
        <f>'Kit report'!X26</f>
        <v>200</v>
      </c>
    </row>
    <row r="28" spans="1:10" ht="15" customHeight="1" x14ac:dyDescent="0.25">
      <c r="A28" s="218">
        <f>Gen!B34</f>
        <v>44159</v>
      </c>
      <c r="B28" s="397">
        <v>9.0999999999999998E-2</v>
      </c>
      <c r="C28" s="443">
        <f>Gen!AK34</f>
        <v>67</v>
      </c>
      <c r="D28" s="444">
        <f>Gen!T34</f>
        <v>1019.27</v>
      </c>
      <c r="E28" s="393">
        <f>Gen!D34</f>
        <v>40808.22</v>
      </c>
      <c r="F28" s="394">
        <f>'Water-Meter'!E29</f>
        <v>49</v>
      </c>
      <c r="G28" s="395">
        <f>'Water-Meter'!AN29</f>
        <v>98</v>
      </c>
      <c r="H28" s="393">
        <f>'Utility report '!AC29</f>
        <v>35</v>
      </c>
      <c r="I28" s="392">
        <f>'Kit report'!F27</f>
        <v>240</v>
      </c>
      <c r="J28" s="393">
        <f>'Kit report'!X27</f>
        <v>79.99999999992724</v>
      </c>
    </row>
    <row r="29" spans="1:10" ht="15" customHeight="1" x14ac:dyDescent="0.25">
      <c r="A29" s="218">
        <f>Gen!B35</f>
        <v>44160</v>
      </c>
      <c r="B29" s="397">
        <f>Gen!C35</f>
        <v>3.9E-2</v>
      </c>
      <c r="C29" s="443">
        <f>Gen!AK35</f>
        <v>20.32</v>
      </c>
      <c r="D29" s="444">
        <f>Gen!T35</f>
        <v>979.02</v>
      </c>
      <c r="E29" s="393">
        <f>Gen!D35</f>
        <v>39721.950000000004</v>
      </c>
      <c r="F29" s="394">
        <f>'Water-Meter'!E30</f>
        <v>50</v>
      </c>
      <c r="G29" s="395">
        <f>'Water-Meter'!AN30</f>
        <v>164</v>
      </c>
      <c r="H29" s="393">
        <f>'Utility report '!AC30</f>
        <v>39</v>
      </c>
      <c r="I29" s="392">
        <f>'Kit report'!F28</f>
        <v>240</v>
      </c>
      <c r="J29" s="393">
        <f>'Kit report'!X28</f>
        <v>39.99999999996362</v>
      </c>
    </row>
    <row r="30" spans="1:10" ht="15" customHeight="1" x14ac:dyDescent="0.25">
      <c r="A30" s="218">
        <f>Gen!B36</f>
        <v>44161</v>
      </c>
      <c r="B30" s="397">
        <f>Gen!C36</f>
        <v>1.2999999999999999E-2</v>
      </c>
      <c r="C30" s="443">
        <f>Gen!AK36</f>
        <v>0</v>
      </c>
      <c r="D30" s="444">
        <f>Gen!T36</f>
        <v>928.16</v>
      </c>
      <c r="E30" s="393">
        <f>Gen!D36</f>
        <v>38722.610000000008</v>
      </c>
      <c r="F30" s="394">
        <f>'Water-Meter'!E31</f>
        <v>56</v>
      </c>
      <c r="G30" s="395">
        <f>'Water-Meter'!AN31</f>
        <v>179</v>
      </c>
      <c r="H30" s="393">
        <f>'Utility report '!AC31</f>
        <v>46</v>
      </c>
      <c r="I30" s="392">
        <f>'Kit report'!F29</f>
        <v>203.99999999986903</v>
      </c>
      <c r="J30" s="393">
        <f>'Kit report'!X29</f>
        <v>160.00000000003638</v>
      </c>
    </row>
    <row r="31" spans="1:10" ht="15" customHeight="1" x14ac:dyDescent="0.25">
      <c r="A31" s="218">
        <f>Gen!B37</f>
        <v>44162</v>
      </c>
      <c r="B31" s="397">
        <f>Gen!C37</f>
        <v>0.01</v>
      </c>
      <c r="C31" s="443">
        <f>Gen!AK37</f>
        <v>37.380000000000003</v>
      </c>
      <c r="D31" s="444">
        <f>Gen!T37</f>
        <v>1021.58</v>
      </c>
      <c r="E31" s="393">
        <f>Gen!D37</f>
        <v>37794.450000000004</v>
      </c>
      <c r="F31" s="394">
        <f>'Water-Meter'!E32</f>
        <v>47</v>
      </c>
      <c r="G31" s="395">
        <f>'Water-Meter'!AN32</f>
        <v>179</v>
      </c>
      <c r="H31" s="393">
        <f>'Utility report '!AC32</f>
        <v>46</v>
      </c>
      <c r="I31" s="392">
        <f>'Kit report'!F30</f>
        <v>216.00000000013097</v>
      </c>
      <c r="J31" s="393">
        <f>'Kit report'!X30</f>
        <v>120.00000000007276</v>
      </c>
    </row>
    <row r="32" spans="1:10" ht="15" customHeight="1" x14ac:dyDescent="0.25">
      <c r="A32" s="218">
        <f>Gen!B38</f>
        <v>44163</v>
      </c>
      <c r="B32" s="397">
        <f>Gen!C38</f>
        <v>2.5999999999999999E-2</v>
      </c>
      <c r="C32" s="443">
        <f>Gen!AK38</f>
        <v>0</v>
      </c>
      <c r="D32" s="444">
        <f>Gen!T38</f>
        <v>969.62</v>
      </c>
      <c r="E32" s="393">
        <f>Gen!D38</f>
        <v>36735.490000000005</v>
      </c>
      <c r="F32" s="394">
        <f>'Water-Meter'!E33</f>
        <v>45</v>
      </c>
      <c r="G32" s="395">
        <f>'Water-Meter'!AN33</f>
        <v>135</v>
      </c>
      <c r="H32" s="393">
        <f>'Utility report '!AC33</f>
        <v>44</v>
      </c>
      <c r="I32" s="392">
        <f>'Kit report'!F31</f>
        <v>155.99999999991269</v>
      </c>
      <c r="J32" s="393">
        <f>'Kit report'!X31</f>
        <v>139.99999999996362</v>
      </c>
    </row>
    <row r="33" spans="1:10" ht="15" customHeight="1" x14ac:dyDescent="0.25">
      <c r="A33" s="218">
        <f>Gen!B39</f>
        <v>44164</v>
      </c>
      <c r="B33" s="397">
        <f>Gen!C39</f>
        <v>2.5999999999999999E-2</v>
      </c>
      <c r="C33" s="443">
        <f>Gen!AK39</f>
        <v>38.6</v>
      </c>
      <c r="D33" s="444">
        <f>Gen!T39</f>
        <v>959.37</v>
      </c>
      <c r="E33" s="393">
        <f>Gen!D39</f>
        <v>35765.870000000003</v>
      </c>
      <c r="F33" s="394">
        <f>'Water-Meter'!E34</f>
        <v>62</v>
      </c>
      <c r="G33" s="395">
        <f>'Water-Meter'!AN34</f>
        <v>96</v>
      </c>
      <c r="H33" s="393">
        <f>'Utility report '!AC34</f>
        <v>44</v>
      </c>
      <c r="I33" s="392">
        <f>'Kit report'!F32</f>
        <v>204.00000000008731</v>
      </c>
      <c r="J33" s="393">
        <f>'Kit report'!X32</f>
        <v>160.00000000003638</v>
      </c>
    </row>
    <row r="34" spans="1:10" ht="15" customHeight="1" x14ac:dyDescent="0.25">
      <c r="A34" s="218">
        <f>Gen!B40</f>
        <v>44165</v>
      </c>
      <c r="B34" s="441">
        <f>Gen!C40</f>
        <v>3.9E-2</v>
      </c>
      <c r="C34" s="443">
        <f>Gen!AK40</f>
        <v>318</v>
      </c>
      <c r="D34" s="444">
        <f>Gen!T40</f>
        <v>923.68</v>
      </c>
      <c r="E34" s="442">
        <f>Gen!D40</f>
        <v>34767.9</v>
      </c>
      <c r="F34" s="394">
        <f>'Water-Meter'!E35</f>
        <v>46</v>
      </c>
      <c r="G34" s="395">
        <f>'Water-Meter'!AN35</f>
        <v>97</v>
      </c>
      <c r="H34" s="393">
        <f>'Utility report '!AC35</f>
        <v>41</v>
      </c>
      <c r="I34" s="392">
        <f>'Kit report'!F33</f>
        <v>167.99999999995634</v>
      </c>
      <c r="J34" s="393">
        <f>'Kit report'!X33</f>
        <v>139.99999999996362</v>
      </c>
    </row>
    <row r="35" spans="1:10" ht="15" customHeight="1" x14ac:dyDescent="0.25">
      <c r="A35" s="218">
        <f>Gen!B41</f>
        <v>44166</v>
      </c>
      <c r="B35" s="397">
        <f>Gen!C41</f>
        <v>0</v>
      </c>
      <c r="C35" s="443">
        <f>Gen!AK41</f>
        <v>0</v>
      </c>
      <c r="D35" s="444">
        <f>Gen!U41</f>
        <v>0</v>
      </c>
      <c r="E35" s="395">
        <f>Gen!D41</f>
        <v>33526.22</v>
      </c>
      <c r="F35" s="394" t="str">
        <f>'Water-Meter'!E36</f>
        <v>0</v>
      </c>
      <c r="G35" s="395">
        <f>'Water-Meter'!AN36</f>
        <v>0</v>
      </c>
      <c r="H35" s="393">
        <f>'Utility report '!AC36</f>
        <v>-41932</v>
      </c>
      <c r="I35" s="392">
        <f>'Kit report'!F34</f>
        <v>-1074660</v>
      </c>
      <c r="J35" s="393">
        <f>'Kit report'!X34</f>
        <v>-1573060</v>
      </c>
    </row>
    <row r="36" spans="1:10" ht="15" x14ac:dyDescent="0.25">
      <c r="A36" s="218"/>
      <c r="B36" s="18"/>
      <c r="C36" s="443">
        <f>Gen!AL42</f>
        <v>0</v>
      </c>
      <c r="D36" s="444">
        <f>Gen!U42</f>
        <v>0</v>
      </c>
      <c r="E36" s="395">
        <f>Gen!D42</f>
        <v>33526.22</v>
      </c>
      <c r="F36" s="394">
        <f>'Water-Meter'!E37</f>
        <v>0</v>
      </c>
      <c r="G36" s="395">
        <f>'Water-Meter'!AN37</f>
        <v>1331</v>
      </c>
      <c r="H36" s="393">
        <f>'Utility report '!AC37</f>
        <v>0</v>
      </c>
      <c r="I36" s="392">
        <f>'Kit report'!F35</f>
        <v>635.99999999991269</v>
      </c>
      <c r="J36" s="39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Joe El Khoury</cp:lastModifiedBy>
  <cp:lastPrinted>2020-08-16T05:05:58Z</cp:lastPrinted>
  <dcterms:created xsi:type="dcterms:W3CDTF">2009-01-25T09:02:38Z</dcterms:created>
  <dcterms:modified xsi:type="dcterms:W3CDTF">2020-12-08T07:54:29Z</dcterms:modified>
</cp:coreProperties>
</file>