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iz.mbungiro\Desktop\"/>
    </mc:Choice>
  </mc:AlternateContent>
  <xr:revisionPtr revIDLastSave="0" documentId="13_ncr:1_{B453C631-8055-49B6-A0BA-30EB91AD2C5F}" xr6:coauthVersionLast="46" xr6:coauthVersionMax="47" xr10:uidLastSave="{00000000-0000-0000-0000-000000000000}"/>
  <bookViews>
    <workbookView xWindow="-120" yWindow="-120" windowWidth="29040" windowHeight="15840" firstSheet="9" activeTab="10" xr2:uid="{00000000-000D-0000-FFFF-FFFF00000000}"/>
  </bookViews>
  <sheets>
    <sheet name="Submetering" sheetId="25" r:id="rId1"/>
    <sheet name="Total" sheetId="26" r:id="rId2"/>
    <sheet name="Energy Graph" sheetId="7" r:id="rId3"/>
    <sheet name="UTILITY REPORT 1" sheetId="24" r:id="rId4"/>
    <sheet name="Kit report" sheetId="18" r:id="rId5"/>
    <sheet name="Utility report " sheetId="13" r:id="rId6"/>
    <sheet name="Sheet3" sheetId="28" r:id="rId7"/>
    <sheet name="Utility summery" sheetId="14" r:id="rId8"/>
    <sheet name="Sheet4" sheetId="29" r:id="rId9"/>
    <sheet name="Gen" sheetId="1" r:id="rId10"/>
    <sheet name="Lpg (2)" sheetId="15" r:id="rId11"/>
    <sheet name="Summery Report" sheetId="11" r:id="rId12"/>
    <sheet name="Water-Meter" sheetId="3" r:id="rId13"/>
    <sheet name="LPG_Graph" sheetId="8" r:id="rId14"/>
    <sheet name="Daily report Gen" sheetId="12" r:id="rId15"/>
    <sheet name="Water_Graph " sheetId="9" r:id="rId16"/>
    <sheet name="Sheet1" sheetId="10" r:id="rId17"/>
    <sheet name="VODACOM AND AIRTEL" sheetId="20" r:id="rId18"/>
    <sheet name="FUEL METER READING" sheetId="22" r:id="rId19"/>
    <sheet name="Daily utility report " sheetId="23" r:id="rId20"/>
    <sheet name="Sheet2" sheetId="27" r:id="rId21"/>
  </sheets>
  <externalReferences>
    <externalReference r:id="rId22"/>
    <externalReference r:id="rId23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B37" i="14" l="1"/>
  <c r="C37" i="14"/>
  <c r="D37" i="14"/>
  <c r="E37" i="14"/>
  <c r="F37" i="14"/>
  <c r="G37" i="14"/>
  <c r="H37" i="14"/>
  <c r="I37" i="14"/>
  <c r="J37" i="14"/>
  <c r="K37" i="14"/>
  <c r="L37" i="14"/>
  <c r="M37" i="14"/>
  <c r="Q37" i="14"/>
  <c r="S37" i="14" s="1"/>
  <c r="R37" i="14"/>
  <c r="R38" i="14"/>
  <c r="D34" i="23"/>
  <c r="D33" i="23"/>
  <c r="D35" i="23"/>
  <c r="T42" i="1"/>
  <c r="T41" i="1"/>
  <c r="T11" i="1"/>
  <c r="T12" i="1"/>
  <c r="T13" i="1"/>
  <c r="T14" i="1"/>
  <c r="T15" i="1"/>
  <c r="T16" i="1"/>
  <c r="T17" i="1"/>
  <c r="T27" i="1"/>
  <c r="D22" i="14"/>
  <c r="N22" i="14" s="1"/>
  <c r="D8" i="14"/>
  <c r="N8" i="14" s="1"/>
  <c r="R8" i="14" s="1"/>
  <c r="D6" i="14"/>
  <c r="N6" i="14" s="1"/>
  <c r="R6" i="14" s="1"/>
  <c r="D7" i="14"/>
  <c r="N7" i="14" s="1"/>
  <c r="T10" i="1"/>
  <c r="D10" i="14"/>
  <c r="N10" i="14" s="1"/>
  <c r="R10" i="14" s="1"/>
  <c r="A6" i="14"/>
  <c r="E6" i="14"/>
  <c r="O6" i="14" s="1"/>
  <c r="G6" i="14"/>
  <c r="H6" i="14"/>
  <c r="I6" i="14"/>
  <c r="J6" i="14"/>
  <c r="K6" i="14"/>
  <c r="L6" i="14"/>
  <c r="M6" i="14"/>
  <c r="P6" i="14"/>
  <c r="A7" i="14"/>
  <c r="E7" i="14"/>
  <c r="O7" i="14" s="1"/>
  <c r="G7" i="14"/>
  <c r="H7" i="14"/>
  <c r="I7" i="14"/>
  <c r="J7" i="14"/>
  <c r="K7" i="14"/>
  <c r="L7" i="14"/>
  <c r="M7" i="14"/>
  <c r="P7" i="14"/>
  <c r="A8" i="14"/>
  <c r="E8" i="14"/>
  <c r="O8" i="14" s="1"/>
  <c r="G8" i="14"/>
  <c r="H8" i="14"/>
  <c r="I8" i="14"/>
  <c r="J8" i="14"/>
  <c r="K8" i="14"/>
  <c r="L8" i="14"/>
  <c r="M8" i="14"/>
  <c r="P8" i="14"/>
  <c r="A9" i="14"/>
  <c r="D9" i="14"/>
  <c r="N9" i="14" s="1"/>
  <c r="E9" i="14"/>
  <c r="O9" i="14" s="1"/>
  <c r="G9" i="14"/>
  <c r="H9" i="14"/>
  <c r="I9" i="14"/>
  <c r="J9" i="14"/>
  <c r="K9" i="14"/>
  <c r="L9" i="14"/>
  <c r="M9" i="14"/>
  <c r="P9" i="14"/>
  <c r="A10" i="14"/>
  <c r="E10" i="14"/>
  <c r="O10" i="14" s="1"/>
  <c r="G10" i="14"/>
  <c r="H10" i="14"/>
  <c r="I10" i="14"/>
  <c r="J10" i="14"/>
  <c r="K10" i="14"/>
  <c r="L10" i="14"/>
  <c r="M10" i="14"/>
  <c r="P10" i="14"/>
  <c r="A11" i="14"/>
  <c r="D11" i="14"/>
  <c r="G11" i="14"/>
  <c r="H11" i="14"/>
  <c r="I11" i="14"/>
  <c r="J11" i="14"/>
  <c r="K11" i="14"/>
  <c r="L11" i="14"/>
  <c r="M11" i="14"/>
  <c r="N11" i="14"/>
  <c r="O11" i="14"/>
  <c r="P11" i="14"/>
  <c r="A12" i="14"/>
  <c r="D12" i="14"/>
  <c r="N12" i="14" s="1"/>
  <c r="E12" i="14"/>
  <c r="O12" i="14" s="1"/>
  <c r="G12" i="14"/>
  <c r="H12" i="14"/>
  <c r="I12" i="14"/>
  <c r="J12" i="14"/>
  <c r="K12" i="14"/>
  <c r="L12" i="14"/>
  <c r="M12" i="14"/>
  <c r="P12" i="14"/>
  <c r="A13" i="14"/>
  <c r="C13" i="14"/>
  <c r="D13" i="14"/>
  <c r="N13" i="14" s="1"/>
  <c r="E13" i="14"/>
  <c r="O13" i="14" s="1"/>
  <c r="F13" i="14"/>
  <c r="G13" i="14"/>
  <c r="H13" i="14"/>
  <c r="I13" i="14"/>
  <c r="J13" i="14"/>
  <c r="K13" i="14"/>
  <c r="L13" i="14"/>
  <c r="M13" i="14"/>
  <c r="P13" i="14"/>
  <c r="A14" i="14"/>
  <c r="C14" i="14"/>
  <c r="D14" i="14"/>
  <c r="N14" i="14" s="1"/>
  <c r="E14" i="14"/>
  <c r="O14" i="14" s="1"/>
  <c r="F14" i="14"/>
  <c r="G14" i="14"/>
  <c r="H14" i="14"/>
  <c r="I14" i="14"/>
  <c r="J14" i="14"/>
  <c r="K14" i="14"/>
  <c r="L14" i="14"/>
  <c r="M14" i="14"/>
  <c r="P14" i="14"/>
  <c r="A15" i="14"/>
  <c r="C15" i="14"/>
  <c r="D15" i="14"/>
  <c r="N15" i="14" s="1"/>
  <c r="E15" i="14"/>
  <c r="O15" i="14" s="1"/>
  <c r="F15" i="14"/>
  <c r="G15" i="14"/>
  <c r="H15" i="14"/>
  <c r="I15" i="14"/>
  <c r="J15" i="14"/>
  <c r="K15" i="14"/>
  <c r="L15" i="14"/>
  <c r="M15" i="14"/>
  <c r="P15" i="14"/>
  <c r="A16" i="14"/>
  <c r="C16" i="14"/>
  <c r="D16" i="14"/>
  <c r="N16" i="14" s="1"/>
  <c r="E16" i="14"/>
  <c r="O16" i="14" s="1"/>
  <c r="F16" i="14"/>
  <c r="G16" i="14"/>
  <c r="H16" i="14"/>
  <c r="I16" i="14"/>
  <c r="J16" i="14"/>
  <c r="K16" i="14"/>
  <c r="L16" i="14"/>
  <c r="M16" i="14"/>
  <c r="P16" i="14"/>
  <c r="A17" i="14"/>
  <c r="C17" i="14"/>
  <c r="D17" i="14"/>
  <c r="N17" i="14" s="1"/>
  <c r="E17" i="14"/>
  <c r="O17" i="14" s="1"/>
  <c r="F17" i="14"/>
  <c r="G17" i="14"/>
  <c r="H17" i="14"/>
  <c r="I17" i="14"/>
  <c r="J17" i="14"/>
  <c r="K17" i="14"/>
  <c r="L17" i="14"/>
  <c r="M17" i="14"/>
  <c r="P17" i="14"/>
  <c r="A18" i="14"/>
  <c r="C18" i="14"/>
  <c r="D18" i="14"/>
  <c r="N18" i="14" s="1"/>
  <c r="E18" i="14"/>
  <c r="O18" i="14" s="1"/>
  <c r="F18" i="14"/>
  <c r="G18" i="14"/>
  <c r="H18" i="14"/>
  <c r="I18" i="14"/>
  <c r="J18" i="14"/>
  <c r="K18" i="14"/>
  <c r="L18" i="14"/>
  <c r="M18" i="14"/>
  <c r="P18" i="14"/>
  <c r="A19" i="14"/>
  <c r="C19" i="14"/>
  <c r="D19" i="14"/>
  <c r="N19" i="14" s="1"/>
  <c r="E19" i="14"/>
  <c r="O19" i="14" s="1"/>
  <c r="F19" i="14"/>
  <c r="G19" i="14"/>
  <c r="H19" i="14"/>
  <c r="I19" i="14"/>
  <c r="J19" i="14"/>
  <c r="K19" i="14"/>
  <c r="L19" i="14"/>
  <c r="M19" i="14"/>
  <c r="P19" i="14"/>
  <c r="A20" i="14"/>
  <c r="C20" i="14"/>
  <c r="D20" i="14"/>
  <c r="N20" i="14" s="1"/>
  <c r="E20" i="14"/>
  <c r="O20" i="14" s="1"/>
  <c r="F20" i="14"/>
  <c r="G20" i="14"/>
  <c r="H20" i="14"/>
  <c r="I20" i="14"/>
  <c r="J20" i="14"/>
  <c r="K20" i="14"/>
  <c r="L20" i="14"/>
  <c r="M20" i="14"/>
  <c r="P20" i="14"/>
  <c r="A21" i="14"/>
  <c r="C21" i="14"/>
  <c r="D21" i="14"/>
  <c r="N21" i="14" s="1"/>
  <c r="E21" i="14"/>
  <c r="O21" i="14" s="1"/>
  <c r="F21" i="14"/>
  <c r="G21" i="14"/>
  <c r="H21" i="14"/>
  <c r="I21" i="14"/>
  <c r="J21" i="14"/>
  <c r="K21" i="14"/>
  <c r="L21" i="14"/>
  <c r="M21" i="14"/>
  <c r="P21" i="14"/>
  <c r="A22" i="14"/>
  <c r="E22" i="14"/>
  <c r="O22" i="14" s="1"/>
  <c r="G22" i="14"/>
  <c r="H22" i="14"/>
  <c r="I22" i="14"/>
  <c r="J22" i="14"/>
  <c r="K22" i="14"/>
  <c r="L22" i="14"/>
  <c r="M22" i="14"/>
  <c r="P22" i="14"/>
  <c r="A23" i="14"/>
  <c r="C23" i="14"/>
  <c r="D23" i="14"/>
  <c r="N23" i="14" s="1"/>
  <c r="E23" i="14"/>
  <c r="O23" i="14" s="1"/>
  <c r="F23" i="14"/>
  <c r="G23" i="14"/>
  <c r="H23" i="14"/>
  <c r="I23" i="14"/>
  <c r="J23" i="14"/>
  <c r="K23" i="14"/>
  <c r="L23" i="14"/>
  <c r="M23" i="14"/>
  <c r="P23" i="14"/>
  <c r="A24" i="14"/>
  <c r="C24" i="14"/>
  <c r="D24" i="14"/>
  <c r="N24" i="14" s="1"/>
  <c r="E24" i="14"/>
  <c r="O24" i="14" s="1"/>
  <c r="F24" i="14"/>
  <c r="G24" i="14"/>
  <c r="H24" i="14"/>
  <c r="I24" i="14"/>
  <c r="J24" i="14"/>
  <c r="K24" i="14"/>
  <c r="L24" i="14"/>
  <c r="M24" i="14"/>
  <c r="P24" i="14"/>
  <c r="A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P25" i="14"/>
  <c r="A26" i="14"/>
  <c r="C26" i="14"/>
  <c r="D26" i="14"/>
  <c r="N26" i="14" s="1"/>
  <c r="E26" i="14"/>
  <c r="O26" i="14" s="1"/>
  <c r="F26" i="14"/>
  <c r="G26" i="14"/>
  <c r="H26" i="14"/>
  <c r="I26" i="14"/>
  <c r="J26" i="14"/>
  <c r="K26" i="14"/>
  <c r="L26" i="14"/>
  <c r="M26" i="14"/>
  <c r="P26" i="14"/>
  <c r="A27" i="14"/>
  <c r="C27" i="14"/>
  <c r="D27" i="14"/>
  <c r="N27" i="14" s="1"/>
  <c r="E27" i="14"/>
  <c r="O27" i="14" s="1"/>
  <c r="F27" i="14"/>
  <c r="G27" i="14"/>
  <c r="H27" i="14"/>
  <c r="I27" i="14"/>
  <c r="J27" i="14"/>
  <c r="K27" i="14"/>
  <c r="L27" i="14"/>
  <c r="M27" i="14"/>
  <c r="P27" i="14"/>
  <c r="A28" i="14"/>
  <c r="C28" i="14"/>
  <c r="D28" i="14"/>
  <c r="N28" i="14" s="1"/>
  <c r="E28" i="14"/>
  <c r="O28" i="14" s="1"/>
  <c r="F28" i="14"/>
  <c r="G28" i="14"/>
  <c r="H28" i="14"/>
  <c r="I28" i="14"/>
  <c r="J28" i="14"/>
  <c r="K28" i="14"/>
  <c r="L28" i="14"/>
  <c r="M28" i="14"/>
  <c r="P28" i="14"/>
  <c r="A29" i="14"/>
  <c r="C29" i="14"/>
  <c r="D29" i="14"/>
  <c r="N29" i="14" s="1"/>
  <c r="E29" i="14"/>
  <c r="O29" i="14" s="1"/>
  <c r="F29" i="14"/>
  <c r="G29" i="14"/>
  <c r="H29" i="14"/>
  <c r="I29" i="14"/>
  <c r="J29" i="14"/>
  <c r="K29" i="14"/>
  <c r="L29" i="14"/>
  <c r="M29" i="14"/>
  <c r="P29" i="14"/>
  <c r="A30" i="14"/>
  <c r="C30" i="14"/>
  <c r="D30" i="14"/>
  <c r="N30" i="14" s="1"/>
  <c r="E30" i="14"/>
  <c r="O30" i="14" s="1"/>
  <c r="F30" i="14"/>
  <c r="G30" i="14"/>
  <c r="H30" i="14"/>
  <c r="I30" i="14"/>
  <c r="J30" i="14"/>
  <c r="K30" i="14"/>
  <c r="L30" i="14"/>
  <c r="M30" i="14"/>
  <c r="P30" i="14"/>
  <c r="A31" i="14"/>
  <c r="C31" i="14"/>
  <c r="D31" i="14"/>
  <c r="N31" i="14" s="1"/>
  <c r="E31" i="14"/>
  <c r="O31" i="14" s="1"/>
  <c r="F31" i="14"/>
  <c r="G31" i="14"/>
  <c r="H31" i="14"/>
  <c r="I31" i="14"/>
  <c r="J31" i="14"/>
  <c r="K31" i="14"/>
  <c r="L31" i="14"/>
  <c r="M31" i="14"/>
  <c r="P31" i="14"/>
  <c r="A32" i="14"/>
  <c r="C32" i="14"/>
  <c r="D32" i="14"/>
  <c r="N32" i="14" s="1"/>
  <c r="E32" i="14"/>
  <c r="O32" i="14" s="1"/>
  <c r="F32" i="14"/>
  <c r="G32" i="14"/>
  <c r="H32" i="14"/>
  <c r="I32" i="14"/>
  <c r="J32" i="14"/>
  <c r="K32" i="14"/>
  <c r="L32" i="14"/>
  <c r="M32" i="14"/>
  <c r="P32" i="14"/>
  <c r="A33" i="14"/>
  <c r="C33" i="14"/>
  <c r="D33" i="14"/>
  <c r="N33" i="14" s="1"/>
  <c r="E33" i="14"/>
  <c r="O33" i="14" s="1"/>
  <c r="F33" i="14"/>
  <c r="G33" i="14"/>
  <c r="H33" i="14"/>
  <c r="I33" i="14"/>
  <c r="J33" i="14"/>
  <c r="K33" i="14"/>
  <c r="L33" i="14"/>
  <c r="M33" i="14"/>
  <c r="P33" i="14"/>
  <c r="A34" i="14"/>
  <c r="C34" i="14"/>
  <c r="D34" i="14"/>
  <c r="N34" i="14" s="1"/>
  <c r="E34" i="14"/>
  <c r="F34" i="14"/>
  <c r="G34" i="14"/>
  <c r="H34" i="14"/>
  <c r="I34" i="14"/>
  <c r="J34" i="14"/>
  <c r="K34" i="14"/>
  <c r="L34" i="14"/>
  <c r="M34" i="14"/>
  <c r="O34" i="14"/>
  <c r="P34" i="14"/>
  <c r="A35" i="14"/>
  <c r="C35" i="14"/>
  <c r="D35" i="14"/>
  <c r="N35" i="14" s="1"/>
  <c r="E35" i="14"/>
  <c r="O35" i="14" s="1"/>
  <c r="F35" i="14"/>
  <c r="G35" i="14"/>
  <c r="H35" i="14"/>
  <c r="I35" i="14"/>
  <c r="J35" i="14"/>
  <c r="K35" i="14"/>
  <c r="L35" i="14"/>
  <c r="M35" i="14"/>
  <c r="P35" i="14"/>
  <c r="A36" i="14"/>
  <c r="D36" i="14"/>
  <c r="N36" i="14" s="1"/>
  <c r="E36" i="14"/>
  <c r="O36" i="14" s="1"/>
  <c r="G36" i="14"/>
  <c r="H36" i="14"/>
  <c r="I36" i="14"/>
  <c r="J36" i="14"/>
  <c r="K36" i="14"/>
  <c r="L36" i="14"/>
  <c r="M36" i="14"/>
  <c r="P36" i="14"/>
  <c r="AS42" i="1"/>
  <c r="AS43" i="1"/>
  <c r="J10" i="15"/>
  <c r="J5" i="23"/>
  <c r="J6" i="23"/>
  <c r="I3" i="22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D23" i="11"/>
  <c r="D24" i="11"/>
  <c r="AB5" i="18"/>
  <c r="AB6" i="18"/>
  <c r="AC4" i="18"/>
  <c r="AC5" i="18"/>
  <c r="B34" i="1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2" i="7"/>
  <c r="I26" i="24"/>
  <c r="I27" i="24"/>
  <c r="K3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2" i="26"/>
  <c r="J30" i="18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2" i="9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5" i="10"/>
  <c r="AN35" i="3"/>
  <c r="AN32" i="3"/>
  <c r="AN23" i="3"/>
  <c r="AN24" i="3"/>
  <c r="AN25" i="3"/>
  <c r="AN26" i="3"/>
  <c r="AN27" i="3"/>
  <c r="AN28" i="3"/>
  <c r="AN29" i="3"/>
  <c r="AN30" i="3"/>
  <c r="AN31" i="3"/>
  <c r="AN33" i="3"/>
  <c r="AN34" i="3"/>
  <c r="AK28" i="3"/>
  <c r="AK31" i="3"/>
  <c r="AK22" i="3"/>
  <c r="AK23" i="3"/>
  <c r="AK24" i="3"/>
  <c r="AK25" i="3"/>
  <c r="AK26" i="3"/>
  <c r="AK27" i="3"/>
  <c r="AK29" i="3"/>
  <c r="AK30" i="3"/>
  <c r="AK32" i="3"/>
  <c r="AK33" i="3"/>
  <c r="AK34" i="3"/>
  <c r="AK35" i="3"/>
  <c r="AK36" i="3"/>
  <c r="AK37" i="3"/>
  <c r="AJ33" i="3"/>
  <c r="AJ34" i="3"/>
  <c r="AJ35" i="3"/>
  <c r="AJ36" i="3"/>
  <c r="AJ37" i="3"/>
  <c r="U36" i="3"/>
  <c r="U35" i="3"/>
  <c r="U37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18" i="3"/>
  <c r="V35" i="3"/>
  <c r="V36" i="3"/>
  <c r="V37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6" i="3"/>
  <c r="V21" i="3"/>
  <c r="L29" i="3"/>
  <c r="A6" i="3"/>
  <c r="A33" i="3"/>
  <c r="A36" i="3"/>
  <c r="D71" i="3"/>
  <c r="D75" i="3"/>
  <c r="D76" i="3"/>
  <c r="R19" i="18"/>
  <c r="R27" i="18"/>
  <c r="R26" i="18"/>
  <c r="R22" i="18"/>
  <c r="R24" i="18"/>
  <c r="R32" i="18"/>
  <c r="AE35" i="3"/>
  <c r="S32" i="12"/>
  <c r="S33" i="12"/>
  <c r="S34" i="12"/>
  <c r="G74" i="22"/>
  <c r="I74" i="22" s="1"/>
  <c r="K74" i="22" s="1"/>
  <c r="G73" i="22"/>
  <c r="I73" i="22" s="1"/>
  <c r="K73" i="22" s="1"/>
  <c r="G72" i="22"/>
  <c r="I72" i="22" s="1"/>
  <c r="K72" i="22" s="1"/>
  <c r="G71" i="22"/>
  <c r="I71" i="22" s="1"/>
  <c r="K71" i="22" s="1"/>
  <c r="G70" i="22"/>
  <c r="I70" i="22" s="1"/>
  <c r="K70" i="22" s="1"/>
  <c r="G69" i="22"/>
  <c r="I69" i="22" s="1"/>
  <c r="K69" i="22" s="1"/>
  <c r="G68" i="22"/>
  <c r="I68" i="22" s="1"/>
  <c r="K68" i="22" s="1"/>
  <c r="G67" i="22"/>
  <c r="I67" i="22" s="1"/>
  <c r="K67" i="22" s="1"/>
  <c r="G66" i="22"/>
  <c r="I66" i="22" s="1"/>
  <c r="K66" i="22" s="1"/>
  <c r="G65" i="22"/>
  <c r="I65" i="22" s="1"/>
  <c r="K65" i="22" s="1"/>
  <c r="G64" i="22"/>
  <c r="I64" i="22" s="1"/>
  <c r="K64" i="22" s="1"/>
  <c r="G63" i="22"/>
  <c r="I63" i="22" s="1"/>
  <c r="K63" i="22" s="1"/>
  <c r="G62" i="22"/>
  <c r="I62" i="22" s="1"/>
  <c r="K62" i="22" s="1"/>
  <c r="G61" i="22"/>
  <c r="I61" i="22" s="1"/>
  <c r="K61" i="22" s="1"/>
  <c r="G60" i="22"/>
  <c r="I60" i="22" s="1"/>
  <c r="K60" i="22" s="1"/>
  <c r="G59" i="22"/>
  <c r="I59" i="22" s="1"/>
  <c r="K59" i="22" s="1"/>
  <c r="G58" i="22"/>
  <c r="I58" i="22" s="1"/>
  <c r="K58" i="22" s="1"/>
  <c r="G57" i="22"/>
  <c r="I57" i="22" s="1"/>
  <c r="K57" i="22" s="1"/>
  <c r="G56" i="22"/>
  <c r="I56" i="22" s="1"/>
  <c r="K56" i="22" s="1"/>
  <c r="G55" i="22"/>
  <c r="I55" i="22" s="1"/>
  <c r="K55" i="22" s="1"/>
  <c r="G54" i="22"/>
  <c r="I54" i="22" s="1"/>
  <c r="K54" i="22" s="1"/>
  <c r="G53" i="22"/>
  <c r="I53" i="22" s="1"/>
  <c r="K53" i="22" s="1"/>
  <c r="G52" i="22"/>
  <c r="I52" i="22" s="1"/>
  <c r="K52" i="22" s="1"/>
  <c r="G51" i="22"/>
  <c r="I51" i="22" s="1"/>
  <c r="K51" i="22" s="1"/>
  <c r="G50" i="22"/>
  <c r="I50" i="22" s="1"/>
  <c r="K50" i="22" s="1"/>
  <c r="G49" i="22"/>
  <c r="I49" i="22" s="1"/>
  <c r="K49" i="22" s="1"/>
  <c r="G48" i="22"/>
  <c r="I48" i="22" s="1"/>
  <c r="K48" i="22" s="1"/>
  <c r="G47" i="22"/>
  <c r="I47" i="22" s="1"/>
  <c r="K47" i="22" s="1"/>
  <c r="G46" i="22"/>
  <c r="I46" i="22" s="1"/>
  <c r="K46" i="22" s="1"/>
  <c r="G45" i="22"/>
  <c r="I45" i="22" s="1"/>
  <c r="K45" i="22" s="1"/>
  <c r="G44" i="22"/>
  <c r="I44" i="22" s="1"/>
  <c r="K44" i="22" s="1"/>
  <c r="G43" i="22"/>
  <c r="I43" i="22" s="1"/>
  <c r="K43" i="22" s="1"/>
  <c r="G42" i="22"/>
  <c r="I42" i="22" s="1"/>
  <c r="K42" i="22" s="1"/>
  <c r="G41" i="22"/>
  <c r="I41" i="22" s="1"/>
  <c r="K41" i="22" s="1"/>
  <c r="G40" i="22"/>
  <c r="I40" i="22" s="1"/>
  <c r="K40" i="22" s="1"/>
  <c r="G39" i="22"/>
  <c r="I39" i="22" s="1"/>
  <c r="K39" i="22" s="1"/>
  <c r="G38" i="22"/>
  <c r="I38" i="22" s="1"/>
  <c r="K38" i="22" s="1"/>
  <c r="G37" i="22"/>
  <c r="I37" i="22" s="1"/>
  <c r="K37" i="22" s="1"/>
  <c r="G36" i="22"/>
  <c r="I36" i="22" s="1"/>
  <c r="K36" i="22" s="1"/>
  <c r="G35" i="22"/>
  <c r="I35" i="22" s="1"/>
  <c r="K35" i="22" s="1"/>
  <c r="G34" i="22"/>
  <c r="I34" i="22" s="1"/>
  <c r="K34" i="22" s="1"/>
  <c r="G33" i="22"/>
  <c r="I33" i="22" s="1"/>
  <c r="K33" i="22" s="1"/>
  <c r="G32" i="22"/>
  <c r="I32" i="22" s="1"/>
  <c r="K32" i="22" s="1"/>
  <c r="G31" i="22"/>
  <c r="I31" i="22" s="1"/>
  <c r="K31" i="22" s="1"/>
  <c r="G30" i="22"/>
  <c r="I30" i="22" s="1"/>
  <c r="K30" i="22" s="1"/>
  <c r="G29" i="22"/>
  <c r="I29" i="22" s="1"/>
  <c r="K29" i="22" s="1"/>
  <c r="G28" i="22"/>
  <c r="I28" i="22" s="1"/>
  <c r="K28" i="22" s="1"/>
  <c r="G27" i="22"/>
  <c r="I27" i="22" s="1"/>
  <c r="K27" i="22" s="1"/>
  <c r="G26" i="22"/>
  <c r="I26" i="22" s="1"/>
  <c r="K26" i="22" s="1"/>
  <c r="G25" i="22"/>
  <c r="I25" i="22" s="1"/>
  <c r="K25" i="22" s="1"/>
  <c r="G24" i="22"/>
  <c r="I24" i="22" s="1"/>
  <c r="K24" i="22" s="1"/>
  <c r="G23" i="22"/>
  <c r="I23" i="22" s="1"/>
  <c r="K23" i="22" s="1"/>
  <c r="G22" i="22"/>
  <c r="I22" i="22" s="1"/>
  <c r="K22" i="22" s="1"/>
  <c r="G21" i="22"/>
  <c r="I21" i="22" s="1"/>
  <c r="K21" i="22" s="1"/>
  <c r="G20" i="22"/>
  <c r="I20" i="22" s="1"/>
  <c r="K20" i="22" s="1"/>
  <c r="G19" i="22"/>
  <c r="I19" i="22" s="1"/>
  <c r="K19" i="22" s="1"/>
  <c r="G18" i="22"/>
  <c r="I18" i="22" s="1"/>
  <c r="K18" i="22" s="1"/>
  <c r="G17" i="22"/>
  <c r="I17" i="22" s="1"/>
  <c r="K17" i="22" s="1"/>
  <c r="G16" i="22"/>
  <c r="I16" i="22" s="1"/>
  <c r="K16" i="22" s="1"/>
  <c r="G15" i="22"/>
  <c r="I15" i="22" s="1"/>
  <c r="K15" i="22" s="1"/>
  <c r="G14" i="22"/>
  <c r="I14" i="22" s="1"/>
  <c r="K14" i="22" s="1"/>
  <c r="G13" i="22"/>
  <c r="I13" i="22" s="1"/>
  <c r="K13" i="22" s="1"/>
  <c r="G12" i="22"/>
  <c r="I12" i="22" s="1"/>
  <c r="K12" i="22" s="1"/>
  <c r="G11" i="22"/>
  <c r="I11" i="22" s="1"/>
  <c r="K11" i="22" s="1"/>
  <c r="G10" i="22"/>
  <c r="I10" i="22" s="1"/>
  <c r="K10" i="22" s="1"/>
  <c r="G9" i="22"/>
  <c r="I9" i="22" s="1"/>
  <c r="K9" i="22" s="1"/>
  <c r="G8" i="22"/>
  <c r="I8" i="22" s="1"/>
  <c r="K8" i="22" s="1"/>
  <c r="G7" i="22"/>
  <c r="I7" i="22" s="1"/>
  <c r="K7" i="22" s="1"/>
  <c r="G6" i="22"/>
  <c r="I6" i="22" s="1"/>
  <c r="K6" i="22" s="1"/>
  <c r="G5" i="22"/>
  <c r="I5" i="22" s="1"/>
  <c r="K5" i="22" s="1"/>
  <c r="G4" i="22"/>
  <c r="I4" i="22" s="1"/>
  <c r="K4" i="22" s="1"/>
  <c r="G3" i="22"/>
  <c r="K3" i="22" s="1"/>
  <c r="E35" i="3"/>
  <c r="E33" i="3"/>
  <c r="AA20" i="13"/>
  <c r="AA21" i="13"/>
  <c r="AA22" i="13"/>
  <c r="AA25" i="13"/>
  <c r="AA26" i="13"/>
  <c r="AA27" i="13"/>
  <c r="AA28" i="13"/>
  <c r="AA29" i="13"/>
  <c r="Y25" i="13"/>
  <c r="Y26" i="13"/>
  <c r="Y27" i="13"/>
  <c r="Z24" i="13"/>
  <c r="AA24" i="13" s="1"/>
  <c r="Z26" i="13"/>
  <c r="Q18" i="13"/>
  <c r="O33" i="3"/>
  <c r="U27" i="13"/>
  <c r="Y31" i="13"/>
  <c r="Y29" i="13"/>
  <c r="Z29" i="13" s="1"/>
  <c r="Y30" i="13"/>
  <c r="Y33" i="13"/>
  <c r="Z27" i="13"/>
  <c r="Y28" i="13"/>
  <c r="Z28" i="13" s="1"/>
  <c r="Y32" i="13"/>
  <c r="Z32" i="13" s="1"/>
  <c r="Y34" i="13"/>
  <c r="AA32" i="13"/>
  <c r="Z33" i="13"/>
  <c r="AA33" i="13" s="1"/>
  <c r="Z34" i="13"/>
  <c r="AA34" i="13" s="1"/>
  <c r="U10" i="1"/>
  <c r="Q32" i="3"/>
  <c r="I32" i="3"/>
  <c r="H16" i="15"/>
  <c r="H15" i="15"/>
  <c r="H69" i="3"/>
  <c r="E26" i="3"/>
  <c r="E31" i="3"/>
  <c r="K25" i="3"/>
  <c r="AE18" i="13"/>
  <c r="V16" i="12"/>
  <c r="Q16" i="13"/>
  <c r="Q17" i="13"/>
  <c r="Q15" i="13"/>
  <c r="H17" i="15"/>
  <c r="H18" i="15"/>
  <c r="H19" i="15"/>
  <c r="H20" i="15"/>
  <c r="H21" i="15"/>
  <c r="H22" i="15"/>
  <c r="Q14" i="12"/>
  <c r="S14" i="12" s="1"/>
  <c r="Q15" i="12"/>
  <c r="P14" i="12"/>
  <c r="P15" i="18"/>
  <c r="G11" i="15"/>
  <c r="G10" i="15"/>
  <c r="S45" i="1"/>
  <c r="AA6" i="18"/>
  <c r="AC6" i="18" s="1"/>
  <c r="AB3" i="18"/>
  <c r="AA4" i="18" s="1"/>
  <c r="K8" i="3"/>
  <c r="R8" i="3" s="1"/>
  <c r="E8" i="3"/>
  <c r="C5" i="11"/>
  <c r="B33" i="23"/>
  <c r="AB25" i="3"/>
  <c r="E2" i="1"/>
  <c r="G19" i="15"/>
  <c r="J19" i="15" s="1"/>
  <c r="G20" i="15"/>
  <c r="J20" i="15" s="1"/>
  <c r="G21" i="15"/>
  <c r="J21" i="15" s="1"/>
  <c r="G22" i="15"/>
  <c r="J22" i="15" s="1"/>
  <c r="G23" i="15"/>
  <c r="J23" i="15" s="1"/>
  <c r="G24" i="15"/>
  <c r="J24" i="15" s="1"/>
  <c r="G25" i="15"/>
  <c r="J25" i="15" s="1"/>
  <c r="G26" i="15"/>
  <c r="J26" i="15" s="1"/>
  <c r="G27" i="15"/>
  <c r="J27" i="15" s="1"/>
  <c r="G28" i="15"/>
  <c r="J28" i="15" s="1"/>
  <c r="G29" i="15"/>
  <c r="J29" i="15" s="1"/>
  <c r="G30" i="15"/>
  <c r="J30" i="15" s="1"/>
  <c r="P15" i="12"/>
  <c r="P16" i="12"/>
  <c r="P17" i="12"/>
  <c r="P18" i="12"/>
  <c r="P19" i="12"/>
  <c r="P20" i="12"/>
  <c r="P21" i="12"/>
  <c r="P22" i="12"/>
  <c r="P23" i="12"/>
  <c r="P13" i="12"/>
  <c r="Q11" i="13"/>
  <c r="H10" i="15"/>
  <c r="AH9" i="3"/>
  <c r="AH8" i="3"/>
  <c r="AE15" i="13"/>
  <c r="G12" i="15"/>
  <c r="G13" i="15"/>
  <c r="G14" i="15"/>
  <c r="G15" i="15"/>
  <c r="G16" i="15"/>
  <c r="J16" i="15" s="1"/>
  <c r="G17" i="15"/>
  <c r="J17" i="15" s="1"/>
  <c r="G18" i="15"/>
  <c r="J18" i="15" s="1"/>
  <c r="Q7" i="13"/>
  <c r="Q8" i="13"/>
  <c r="K9" i="3"/>
  <c r="C47" i="1"/>
  <c r="K6" i="12"/>
  <c r="Q17" i="14" l="1"/>
  <c r="S17" i="14" s="1"/>
  <c r="Q11" i="14"/>
  <c r="S11" i="14" s="1"/>
  <c r="Q29" i="14"/>
  <c r="S29" i="14" s="1"/>
  <c r="Q35" i="14"/>
  <c r="S35" i="14" s="1"/>
  <c r="E39" i="14"/>
  <c r="I39" i="14"/>
  <c r="Q23" i="14"/>
  <c r="S23" i="14" s="1"/>
  <c r="J39" i="14"/>
  <c r="Q10" i="14"/>
  <c r="S10" i="14" s="1"/>
  <c r="Q6" i="14"/>
  <c r="S6" i="14" s="1"/>
  <c r="G39" i="14"/>
  <c r="Q8" i="14"/>
  <c r="S8" i="14" s="1"/>
  <c r="L39" i="14"/>
  <c r="K39" i="14"/>
  <c r="P39" i="14"/>
  <c r="M39" i="14"/>
  <c r="H39" i="14"/>
  <c r="Q36" i="14"/>
  <c r="S36" i="14" s="1"/>
  <c r="R36" i="14"/>
  <c r="Q31" i="14"/>
  <c r="S31" i="14" s="1"/>
  <c r="Q30" i="14"/>
  <c r="S30" i="14" s="1"/>
  <c r="R30" i="14"/>
  <c r="Q24" i="14"/>
  <c r="S24" i="14" s="1"/>
  <c r="R24" i="14"/>
  <c r="Q19" i="14"/>
  <c r="S19" i="14" s="1"/>
  <c r="Q18" i="14"/>
  <c r="S18" i="14" s="1"/>
  <c r="R18" i="14"/>
  <c r="Q13" i="14"/>
  <c r="S13" i="14" s="1"/>
  <c r="Q12" i="14"/>
  <c r="S12" i="14" s="1"/>
  <c r="R12" i="14"/>
  <c r="Q7" i="14"/>
  <c r="N39" i="14"/>
  <c r="R7" i="14"/>
  <c r="Q34" i="14"/>
  <c r="S34" i="14" s="1"/>
  <c r="R34" i="14"/>
  <c r="Q28" i="14"/>
  <c r="S28" i="14" s="1"/>
  <c r="R28" i="14"/>
  <c r="Q22" i="14"/>
  <c r="S22" i="14" s="1"/>
  <c r="R22" i="14"/>
  <c r="Q16" i="14"/>
  <c r="S16" i="14" s="1"/>
  <c r="R16" i="14"/>
  <c r="Q33" i="14"/>
  <c r="S33" i="14" s="1"/>
  <c r="Q32" i="14"/>
  <c r="S32" i="14" s="1"/>
  <c r="R32" i="14"/>
  <c r="Q27" i="14"/>
  <c r="S27" i="14" s="1"/>
  <c r="Q26" i="14"/>
  <c r="S26" i="14" s="1"/>
  <c r="R26" i="14"/>
  <c r="Q21" i="14"/>
  <c r="S21" i="14" s="1"/>
  <c r="Q20" i="14"/>
  <c r="S20" i="14" s="1"/>
  <c r="R20" i="14"/>
  <c r="Q15" i="14"/>
  <c r="S15" i="14" s="1"/>
  <c r="Q14" i="14"/>
  <c r="S14" i="14" s="1"/>
  <c r="R14" i="14"/>
  <c r="Q9" i="14"/>
  <c r="S9" i="14" s="1"/>
  <c r="R9" i="14"/>
  <c r="D39" i="14"/>
  <c r="B39" i="14"/>
  <c r="R35" i="14"/>
  <c r="R33" i="14"/>
  <c r="R31" i="14"/>
  <c r="R29" i="14"/>
  <c r="R27" i="14"/>
  <c r="R25" i="14"/>
  <c r="R23" i="14"/>
  <c r="R21" i="14"/>
  <c r="R19" i="14"/>
  <c r="R17" i="14"/>
  <c r="R15" i="14"/>
  <c r="R13" i="14"/>
  <c r="R11" i="14"/>
  <c r="O25" i="14"/>
  <c r="Q25" i="14" s="1"/>
  <c r="S25" i="14" s="1"/>
  <c r="L10" i="11"/>
  <c r="J15" i="15"/>
  <c r="F36" i="12"/>
  <c r="E25" i="3"/>
  <c r="C32" i="3"/>
  <c r="E27" i="3"/>
  <c r="Y7" i="13"/>
  <c r="Y8" i="13"/>
  <c r="Y9" i="13"/>
  <c r="Y10" i="13"/>
  <c r="Y11" i="13"/>
  <c r="Y12" i="13"/>
  <c r="Y13" i="13"/>
  <c r="Y14" i="13"/>
  <c r="Y15" i="13"/>
  <c r="Y16" i="13"/>
  <c r="Y17" i="13"/>
  <c r="Y18" i="13"/>
  <c r="Y19" i="13"/>
  <c r="Y20" i="13"/>
  <c r="Y21" i="13"/>
  <c r="T29" i="1"/>
  <c r="T30" i="1"/>
  <c r="X6" i="3"/>
  <c r="X23" i="3"/>
  <c r="X24" i="3"/>
  <c r="X25" i="3"/>
  <c r="Q39" i="14" l="1"/>
  <c r="S7" i="14"/>
  <c r="S39" i="14" s="1"/>
  <c r="O39" i="14"/>
  <c r="R39" i="14"/>
  <c r="AX30" i="1"/>
  <c r="AC25" i="12"/>
  <c r="AX29" i="1"/>
  <c r="AC24" i="12"/>
  <c r="Q28" i="13" l="1"/>
  <c r="Q21" i="13"/>
  <c r="Q22" i="13"/>
  <c r="Q23" i="13"/>
  <c r="R23" i="13" s="1"/>
  <c r="Q24" i="13"/>
  <c r="Q25" i="13"/>
  <c r="Q26" i="13"/>
  <c r="U24" i="1"/>
  <c r="U25" i="1"/>
  <c r="U26" i="1"/>
  <c r="U27" i="1"/>
  <c r="U28" i="1"/>
  <c r="U29" i="1"/>
  <c r="V29" i="1" s="1"/>
  <c r="U30" i="1"/>
  <c r="U31" i="1"/>
  <c r="F23" i="24" s="1"/>
  <c r="U32" i="1"/>
  <c r="F26" i="11" s="1"/>
  <c r="B23" i="7" s="1"/>
  <c r="U33" i="1"/>
  <c r="F27" i="11" s="1"/>
  <c r="B24" i="7" s="1"/>
  <c r="U34" i="1"/>
  <c r="F28" i="11" s="1"/>
  <c r="B25" i="7" s="1"/>
  <c r="U35" i="1"/>
  <c r="U36" i="1"/>
  <c r="U37" i="1"/>
  <c r="U38" i="1"/>
  <c r="U39" i="1"/>
  <c r="U40" i="1"/>
  <c r="U41" i="1"/>
  <c r="Z17" i="13"/>
  <c r="AA17" i="13" s="1"/>
  <c r="U6" i="13"/>
  <c r="V6" i="13" s="1"/>
  <c r="U7" i="13"/>
  <c r="V7" i="13" s="1"/>
  <c r="U8" i="13"/>
  <c r="V8" i="13" s="1"/>
  <c r="U9" i="13"/>
  <c r="V9" i="13" s="1"/>
  <c r="U10" i="13"/>
  <c r="V10" i="13" s="1"/>
  <c r="Q14" i="18"/>
  <c r="Q15" i="18"/>
  <c r="Q16" i="18"/>
  <c r="Q17" i="18"/>
  <c r="Q18" i="18"/>
  <c r="Q19" i="18"/>
  <c r="R4" i="18"/>
  <c r="R10" i="18"/>
  <c r="R14" i="18"/>
  <c r="R15" i="18"/>
  <c r="R16" i="18"/>
  <c r="R17" i="18"/>
  <c r="R18" i="18"/>
  <c r="I25" i="10"/>
  <c r="T9" i="1"/>
  <c r="AK10" i="1"/>
  <c r="D11" i="1"/>
  <c r="U11" i="1"/>
  <c r="AK11" i="1"/>
  <c r="U12" i="1"/>
  <c r="AK12" i="1"/>
  <c r="U13" i="1"/>
  <c r="AK13" i="1"/>
  <c r="U14" i="1"/>
  <c r="AK14" i="1"/>
  <c r="U15" i="1"/>
  <c r="AK15" i="1"/>
  <c r="U16" i="1"/>
  <c r="AK16" i="1"/>
  <c r="U17" i="1"/>
  <c r="AK17" i="1"/>
  <c r="T18" i="1"/>
  <c r="U18" i="1"/>
  <c r="AK18" i="1"/>
  <c r="T19" i="1"/>
  <c r="U19" i="1"/>
  <c r="AK19" i="1"/>
  <c r="T20" i="1"/>
  <c r="U20" i="1"/>
  <c r="AK20" i="1"/>
  <c r="T21" i="1"/>
  <c r="U21" i="1"/>
  <c r="AK21" i="1"/>
  <c r="T22" i="1"/>
  <c r="U22" i="1"/>
  <c r="AK22" i="1"/>
  <c r="T23" i="1"/>
  <c r="U23" i="1"/>
  <c r="AK23" i="1"/>
  <c r="T24" i="1"/>
  <c r="V24" i="1" s="1"/>
  <c r="AK24" i="1"/>
  <c r="T25" i="1"/>
  <c r="V25" i="1" s="1"/>
  <c r="AK25" i="1"/>
  <c r="T26" i="1"/>
  <c r="V26" i="1" s="1"/>
  <c r="AK26" i="1"/>
  <c r="H20" i="11" s="1"/>
  <c r="V27" i="1"/>
  <c r="C22" i="14" s="1"/>
  <c r="AK27" i="1"/>
  <c r="H21" i="11" s="1"/>
  <c r="T28" i="1"/>
  <c r="V28" i="1" s="1"/>
  <c r="AK28" i="1"/>
  <c r="H22" i="11" s="1"/>
  <c r="F23" i="10"/>
  <c r="F21" i="24"/>
  <c r="AK29" i="1"/>
  <c r="H23" i="11" s="1"/>
  <c r="AK30" i="1"/>
  <c r="H24" i="11" s="1"/>
  <c r="T31" i="1"/>
  <c r="V31" i="1" s="1"/>
  <c r="AK31" i="1"/>
  <c r="H25" i="11" s="1"/>
  <c r="T32" i="1"/>
  <c r="V32" i="1" s="1"/>
  <c r="AK32" i="1"/>
  <c r="H26" i="11" s="1"/>
  <c r="T33" i="1"/>
  <c r="V33" i="1" s="1"/>
  <c r="AK33" i="1"/>
  <c r="T34" i="1"/>
  <c r="V34" i="1" s="1"/>
  <c r="AK34" i="1"/>
  <c r="T35" i="1"/>
  <c r="V35" i="1" s="1"/>
  <c r="AK35" i="1"/>
  <c r="T36" i="1"/>
  <c r="V36" i="1" s="1"/>
  <c r="AK36" i="1"/>
  <c r="T37" i="1"/>
  <c r="V37" i="1" s="1"/>
  <c r="AK37" i="1"/>
  <c r="T38" i="1"/>
  <c r="V38" i="1" s="1"/>
  <c r="AK38" i="1"/>
  <c r="T39" i="1"/>
  <c r="V39" i="1" s="1"/>
  <c r="AK39" i="1"/>
  <c r="T40" i="1"/>
  <c r="V40" i="1" s="1"/>
  <c r="AK40" i="1"/>
  <c r="V41" i="1"/>
  <c r="C36" i="14" s="1"/>
  <c r="AK41" i="1"/>
  <c r="U42" i="1"/>
  <c r="AK42" i="1"/>
  <c r="T43" i="1"/>
  <c r="U43" i="1"/>
  <c r="AK43" i="1"/>
  <c r="T44" i="1"/>
  <c r="U44" i="1"/>
  <c r="AK44" i="1"/>
  <c r="E45" i="1"/>
  <c r="F45" i="1"/>
  <c r="G45" i="1"/>
  <c r="H45" i="1"/>
  <c r="I45" i="1"/>
  <c r="J45" i="1"/>
  <c r="K45" i="1"/>
  <c r="L45" i="1"/>
  <c r="M45" i="1"/>
  <c r="S46" i="1" s="1"/>
  <c r="N45" i="1"/>
  <c r="O45" i="1"/>
  <c r="P45" i="1"/>
  <c r="Q45" i="1"/>
  <c r="R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P32" i="18"/>
  <c r="P31" i="18"/>
  <c r="P16" i="18"/>
  <c r="H24" i="3"/>
  <c r="P20" i="18"/>
  <c r="AJ20" i="3"/>
  <c r="Q23" i="3"/>
  <c r="O20" i="3"/>
  <c r="F70" i="3"/>
  <c r="P8" i="18"/>
  <c r="X15" i="3"/>
  <c r="AD11" i="3"/>
  <c r="Q10" i="13"/>
  <c r="D9" i="18"/>
  <c r="F9" i="18" s="1"/>
  <c r="H34" i="18"/>
  <c r="J33" i="18"/>
  <c r="H35" i="18"/>
  <c r="D8" i="18"/>
  <c r="F8" i="18" s="1"/>
  <c r="AA8" i="3"/>
  <c r="F46" i="3"/>
  <c r="Q46" i="1" l="1"/>
  <c r="AX11" i="1"/>
  <c r="AC6" i="12"/>
  <c r="V23" i="1"/>
  <c r="V22" i="1"/>
  <c r="AX21" i="1"/>
  <c r="V21" i="1"/>
  <c r="V20" i="1"/>
  <c r="AX19" i="1"/>
  <c r="V19" i="1"/>
  <c r="V18" i="1"/>
  <c r="AX17" i="1"/>
  <c r="V17" i="1"/>
  <c r="C12" i="14" s="1"/>
  <c r="V16" i="1"/>
  <c r="C11" i="14" s="1"/>
  <c r="AX15" i="1"/>
  <c r="V15" i="1"/>
  <c r="C10" i="14" s="1"/>
  <c r="V14" i="1"/>
  <c r="C9" i="14" s="1"/>
  <c r="AX13" i="1"/>
  <c r="V13" i="1"/>
  <c r="C8" i="14" s="1"/>
  <c r="V12" i="1"/>
  <c r="C7" i="14" s="1"/>
  <c r="V11" i="1"/>
  <c r="C6" i="14" s="1"/>
  <c r="F22" i="24"/>
  <c r="V30" i="1"/>
  <c r="F26" i="24"/>
  <c r="AX40" i="1"/>
  <c r="AC35" i="12"/>
  <c r="AX32" i="1"/>
  <c r="AC27" i="12"/>
  <c r="AC32" i="12"/>
  <c r="AX37" i="1"/>
  <c r="AX31" i="1"/>
  <c r="AC26" i="12"/>
  <c r="AC28" i="12"/>
  <c r="AX33" i="1"/>
  <c r="AX36" i="1"/>
  <c r="AC31" i="12"/>
  <c r="AC15" i="12"/>
  <c r="AX20" i="1"/>
  <c r="AC11" i="12"/>
  <c r="AX16" i="1"/>
  <c r="AX12" i="1"/>
  <c r="AC7" i="12"/>
  <c r="AC30" i="12"/>
  <c r="AX35" i="1"/>
  <c r="N46" i="1"/>
  <c r="AX39" i="1"/>
  <c r="AC34" i="12"/>
  <c r="AC13" i="12"/>
  <c r="AX18" i="1"/>
  <c r="AC9" i="12"/>
  <c r="AX14" i="1"/>
  <c r="AX38" i="1"/>
  <c r="AC33" i="12"/>
  <c r="AX28" i="1"/>
  <c r="AC23" i="12"/>
  <c r="AC22" i="12"/>
  <c r="AX27" i="1"/>
  <c r="AX34" i="1"/>
  <c r="AC29" i="12"/>
  <c r="AX26" i="1"/>
  <c r="AC21" i="12"/>
  <c r="AX25" i="1"/>
  <c r="AC20" i="12"/>
  <c r="R46" i="1"/>
  <c r="AX24" i="1"/>
  <c r="AC19" i="12"/>
  <c r="AC18" i="12"/>
  <c r="AX23" i="1"/>
  <c r="AC17" i="12"/>
  <c r="AX22" i="1"/>
  <c r="AC16" i="12"/>
  <c r="AC14" i="12"/>
  <c r="AC12" i="12"/>
  <c r="AC10" i="12"/>
  <c r="AC8" i="12"/>
  <c r="F27" i="10"/>
  <c r="F25" i="11"/>
  <c r="B22" i="7" s="1"/>
  <c r="H31" i="11"/>
  <c r="H28" i="11"/>
  <c r="I24" i="24"/>
  <c r="AS32" i="1"/>
  <c r="AT32" i="1" s="1"/>
  <c r="H25" i="10"/>
  <c r="AS12" i="1"/>
  <c r="AT12" i="1" s="1"/>
  <c r="F7" i="14" s="1"/>
  <c r="AK45" i="1"/>
  <c r="T45" i="1"/>
  <c r="I23" i="24"/>
  <c r="H32" i="11"/>
  <c r="I22" i="24"/>
  <c r="I21" i="24"/>
  <c r="H30" i="11"/>
  <c r="H29" i="11"/>
  <c r="H27" i="11"/>
  <c r="I25" i="24"/>
  <c r="F24" i="10"/>
  <c r="U45" i="1"/>
  <c r="F25" i="24"/>
  <c r="F24" i="24"/>
  <c r="C2" i="7"/>
  <c r="B5" i="24"/>
  <c r="D11" i="18"/>
  <c r="F11" i="18" s="1"/>
  <c r="D12" i="18"/>
  <c r="F12" i="18" s="1"/>
  <c r="D13" i="18"/>
  <c r="F13" i="18" s="1"/>
  <c r="D14" i="18"/>
  <c r="F14" i="18" s="1"/>
  <c r="D15" i="18"/>
  <c r="F15" i="18" s="1"/>
  <c r="O12" i="3"/>
  <c r="AM32" i="3"/>
  <c r="P9" i="18"/>
  <c r="AE20" i="13"/>
  <c r="O13" i="3"/>
  <c r="F36" i="18"/>
  <c r="D10" i="18"/>
  <c r="F10" i="18" s="1"/>
  <c r="D16" i="18"/>
  <c r="F16" i="18" s="1"/>
  <c r="D17" i="18"/>
  <c r="F17" i="18" s="1"/>
  <c r="D18" i="18"/>
  <c r="F18" i="18" s="1"/>
  <c r="D19" i="18"/>
  <c r="F19" i="18" s="1"/>
  <c r="D20" i="18"/>
  <c r="F20" i="18" s="1"/>
  <c r="D21" i="18"/>
  <c r="F21" i="18" s="1"/>
  <c r="D22" i="18"/>
  <c r="F22" i="18" s="1"/>
  <c r="D23" i="18"/>
  <c r="F23" i="18" s="1"/>
  <c r="D24" i="18"/>
  <c r="F24" i="18" s="1"/>
  <c r="D25" i="18"/>
  <c r="F25" i="18" s="1"/>
  <c r="D26" i="18"/>
  <c r="F26" i="18" s="1"/>
  <c r="D27" i="18"/>
  <c r="F27" i="18" s="1"/>
  <c r="D28" i="18"/>
  <c r="F28" i="18" s="1"/>
  <c r="D29" i="18"/>
  <c r="F29" i="18" s="1"/>
  <c r="D30" i="18"/>
  <c r="F30" i="18" s="1"/>
  <c r="D31" i="18"/>
  <c r="F31" i="18" s="1"/>
  <c r="D32" i="18"/>
  <c r="F32" i="18" s="1"/>
  <c r="D33" i="18"/>
  <c r="F33" i="18" s="1"/>
  <c r="D34" i="18"/>
  <c r="F34" i="18" s="1"/>
  <c r="D35" i="18"/>
  <c r="F35" i="18" s="1"/>
  <c r="J12" i="18"/>
  <c r="Q13" i="18"/>
  <c r="R13" i="18" s="1"/>
  <c r="D6" i="18"/>
  <c r="F6" i="18" s="1"/>
  <c r="D7" i="18"/>
  <c r="F7" i="18" s="1"/>
  <c r="V22" i="3"/>
  <c r="V23" i="3"/>
  <c r="V24" i="3"/>
  <c r="X20" i="3"/>
  <c r="Q35" i="12"/>
  <c r="S35" i="12" s="1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23" i="15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7" i="12"/>
  <c r="B8" i="12"/>
  <c r="B9" i="12"/>
  <c r="B10" i="12"/>
  <c r="B11" i="12"/>
  <c r="B12" i="12"/>
  <c r="B13" i="12"/>
  <c r="B14" i="12"/>
  <c r="B6" i="12"/>
  <c r="C11" i="11"/>
  <c r="L18" i="11"/>
  <c r="N13" i="12"/>
  <c r="E13" i="3"/>
  <c r="K12" i="11" s="1"/>
  <c r="E14" i="3"/>
  <c r="E15" i="3"/>
  <c r="G6" i="11"/>
  <c r="D11" i="11"/>
  <c r="D5" i="18"/>
  <c r="F5" i="18" s="1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4" i="23"/>
  <c r="B35" i="23"/>
  <c r="B5" i="23"/>
  <c r="E6" i="3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2" i="8"/>
  <c r="B15" i="8"/>
  <c r="H11" i="15"/>
  <c r="H12" i="15"/>
  <c r="H13" i="15"/>
  <c r="H14" i="15"/>
  <c r="D5" i="11"/>
  <c r="U11" i="13"/>
  <c r="V11" i="13" s="1"/>
  <c r="AE8" i="13"/>
  <c r="AE9" i="13"/>
  <c r="AE10" i="13"/>
  <c r="AE11" i="13"/>
  <c r="AE12" i="13"/>
  <c r="AE13" i="13"/>
  <c r="AE14" i="13"/>
  <c r="T15" i="12"/>
  <c r="V15" i="12" s="1"/>
  <c r="N15" i="12"/>
  <c r="F16" i="3"/>
  <c r="F17" i="3"/>
  <c r="U21" i="13"/>
  <c r="U22" i="13"/>
  <c r="U23" i="13"/>
  <c r="U24" i="13"/>
  <c r="H15" i="3"/>
  <c r="H16" i="3"/>
  <c r="H17" i="3"/>
  <c r="H14" i="3"/>
  <c r="J20" i="18"/>
  <c r="K13" i="18"/>
  <c r="J13" i="18"/>
  <c r="AA14" i="3"/>
  <c r="P14" i="18"/>
  <c r="X12" i="3"/>
  <c r="X13" i="3"/>
  <c r="X14" i="3"/>
  <c r="V13" i="3"/>
  <c r="V14" i="3"/>
  <c r="AG11" i="3"/>
  <c r="X9" i="3"/>
  <c r="F6" i="11"/>
  <c r="B3" i="7" s="1"/>
  <c r="F7" i="11"/>
  <c r="B4" i="7" s="1"/>
  <c r="F8" i="11"/>
  <c r="B5" i="7" s="1"/>
  <c r="F9" i="11"/>
  <c r="B6" i="7" s="1"/>
  <c r="F10" i="11"/>
  <c r="B7" i="7" s="1"/>
  <c r="F11" i="11"/>
  <c r="AA17" i="3"/>
  <c r="AA18" i="3"/>
  <c r="X21" i="3"/>
  <c r="X22" i="3"/>
  <c r="AA20" i="3"/>
  <c r="AA19" i="3"/>
  <c r="AB18" i="3"/>
  <c r="J35" i="23"/>
  <c r="C35" i="23"/>
  <c r="H35" i="23"/>
  <c r="I35" i="23"/>
  <c r="A34" i="23"/>
  <c r="A35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C39" i="14" l="1"/>
  <c r="V45" i="1"/>
  <c r="V46" i="1"/>
  <c r="U47" i="1"/>
  <c r="AX41" i="1"/>
  <c r="F25" i="10"/>
  <c r="U48" i="1"/>
  <c r="F26" i="10"/>
  <c r="K5" i="11"/>
  <c r="B8" i="8"/>
  <c r="G5" i="11"/>
  <c r="F5" i="11"/>
  <c r="B2" i="7" s="1"/>
  <c r="F19" i="11"/>
  <c r="B16" i="7" s="1"/>
  <c r="G19" i="11" l="1"/>
  <c r="E20" i="3"/>
  <c r="E21" i="3"/>
  <c r="F20" i="11"/>
  <c r="B17" i="7" s="1"/>
  <c r="F21" i="11"/>
  <c r="B18" i="7" s="1"/>
  <c r="F22" i="11"/>
  <c r="B19" i="7" s="1"/>
  <c r="F23" i="11"/>
  <c r="B20" i="7" s="1"/>
  <c r="F24" i="11"/>
  <c r="B21" i="7" s="1"/>
  <c r="F29" i="11"/>
  <c r="B26" i="7" s="1"/>
  <c r="F30" i="11"/>
  <c r="B27" i="7" s="1"/>
  <c r="F31" i="11"/>
  <c r="B28" i="7" s="1"/>
  <c r="F32" i="11"/>
  <c r="B29" i="7" s="1"/>
  <c r="F33" i="11"/>
  <c r="B30" i="7" s="1"/>
  <c r="F34" i="11"/>
  <c r="B31" i="7" s="1"/>
  <c r="F35" i="11"/>
  <c r="B32" i="7" s="1"/>
  <c r="F36" i="11"/>
  <c r="AE16" i="3"/>
  <c r="AE14" i="3"/>
  <c r="AE15" i="3"/>
  <c r="AG17" i="3"/>
  <c r="AG14" i="3"/>
  <c r="AG15" i="3"/>
  <c r="AG16" i="3"/>
  <c r="AG18" i="3"/>
  <c r="AG19" i="3"/>
  <c r="J55" i="3"/>
  <c r="J56" i="3"/>
  <c r="J57" i="3"/>
  <c r="J58" i="3"/>
  <c r="J59" i="3"/>
  <c r="J60" i="3"/>
  <c r="J61" i="3"/>
  <c r="J62" i="3"/>
  <c r="J13" i="15"/>
  <c r="F20" i="23" l="1"/>
  <c r="B2" i="8"/>
  <c r="L5" i="11"/>
  <c r="B5" i="8"/>
  <c r="H11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2" i="11"/>
  <c r="G23" i="11"/>
  <c r="D21" i="23"/>
  <c r="G21" i="11"/>
  <c r="I21" i="11" s="1"/>
  <c r="G20" i="11"/>
  <c r="I20" i="11" s="1"/>
  <c r="H19" i="11"/>
  <c r="I19" i="11" s="1"/>
  <c r="H18" i="11"/>
  <c r="K10" i="3"/>
  <c r="K11" i="3"/>
  <c r="K12" i="3"/>
  <c r="K13" i="3"/>
  <c r="E75" i="20"/>
  <c r="G75" i="20" s="1"/>
  <c r="B75" i="20"/>
  <c r="D75" i="20" s="1"/>
  <c r="E74" i="20"/>
  <c r="G74" i="20" s="1"/>
  <c r="B74" i="20"/>
  <c r="D74" i="20" s="1"/>
  <c r="E73" i="20"/>
  <c r="G73" i="20" s="1"/>
  <c r="B73" i="20"/>
  <c r="D73" i="20" s="1"/>
  <c r="E72" i="20"/>
  <c r="G72" i="20" s="1"/>
  <c r="B72" i="20"/>
  <c r="D72" i="20" s="1"/>
  <c r="E71" i="20"/>
  <c r="G71" i="20" s="1"/>
  <c r="B71" i="20"/>
  <c r="D71" i="20" s="1"/>
  <c r="E70" i="20"/>
  <c r="G70" i="20" s="1"/>
  <c r="B70" i="20"/>
  <c r="D70" i="20" s="1"/>
  <c r="E69" i="20"/>
  <c r="G69" i="20" s="1"/>
  <c r="B69" i="20"/>
  <c r="D69" i="20" s="1"/>
  <c r="E68" i="20"/>
  <c r="G68" i="20" s="1"/>
  <c r="B68" i="20"/>
  <c r="D68" i="20" s="1"/>
  <c r="E67" i="20"/>
  <c r="G67" i="20" s="1"/>
  <c r="B67" i="20"/>
  <c r="D67" i="20" s="1"/>
  <c r="E66" i="20"/>
  <c r="G66" i="20" s="1"/>
  <c r="B66" i="20"/>
  <c r="D66" i="20" s="1"/>
  <c r="E65" i="20"/>
  <c r="G65" i="20" s="1"/>
  <c r="B65" i="20"/>
  <c r="D65" i="20" s="1"/>
  <c r="E64" i="20"/>
  <c r="G64" i="20" s="1"/>
  <c r="B64" i="20"/>
  <c r="D64" i="20" s="1"/>
  <c r="E63" i="20"/>
  <c r="G63" i="20" s="1"/>
  <c r="B63" i="20"/>
  <c r="D63" i="20" s="1"/>
  <c r="E62" i="20"/>
  <c r="G62" i="20" s="1"/>
  <c r="B62" i="20"/>
  <c r="D62" i="20" s="1"/>
  <c r="E61" i="20"/>
  <c r="G61" i="20" s="1"/>
  <c r="B61" i="20"/>
  <c r="D61" i="20" s="1"/>
  <c r="E60" i="20"/>
  <c r="G60" i="20" s="1"/>
  <c r="B60" i="20"/>
  <c r="D60" i="20" s="1"/>
  <c r="E59" i="20"/>
  <c r="G59" i="20" s="1"/>
  <c r="B59" i="20"/>
  <c r="D59" i="20" s="1"/>
  <c r="E58" i="20"/>
  <c r="G58" i="20" s="1"/>
  <c r="B58" i="20"/>
  <c r="D58" i="20" s="1"/>
  <c r="E57" i="20"/>
  <c r="G57" i="20" s="1"/>
  <c r="B57" i="20"/>
  <c r="D57" i="20" s="1"/>
  <c r="E56" i="20"/>
  <c r="G56" i="20" s="1"/>
  <c r="B56" i="20"/>
  <c r="D56" i="20" s="1"/>
  <c r="E55" i="20"/>
  <c r="G55" i="20" s="1"/>
  <c r="B55" i="20"/>
  <c r="D55" i="20" s="1"/>
  <c r="E54" i="20"/>
  <c r="G54" i="20" s="1"/>
  <c r="B54" i="20"/>
  <c r="D54" i="20" s="1"/>
  <c r="E53" i="20"/>
  <c r="G53" i="20" s="1"/>
  <c r="B53" i="20"/>
  <c r="D53" i="20" s="1"/>
  <c r="E52" i="20"/>
  <c r="G52" i="20" s="1"/>
  <c r="B52" i="20"/>
  <c r="D52" i="20" s="1"/>
  <c r="E51" i="20"/>
  <c r="G51" i="20" s="1"/>
  <c r="B51" i="20"/>
  <c r="D51" i="20" s="1"/>
  <c r="E50" i="20"/>
  <c r="G50" i="20" s="1"/>
  <c r="B50" i="20"/>
  <c r="D50" i="20" s="1"/>
  <c r="E49" i="20"/>
  <c r="G49" i="20" s="1"/>
  <c r="B49" i="20"/>
  <c r="D49" i="20" s="1"/>
  <c r="E48" i="20"/>
  <c r="G48" i="20" s="1"/>
  <c r="B48" i="20"/>
  <c r="D48" i="20" s="1"/>
  <c r="E47" i="20"/>
  <c r="G47" i="20" s="1"/>
  <c r="B47" i="20"/>
  <c r="D47" i="20" s="1"/>
  <c r="E46" i="20"/>
  <c r="G46" i="20" s="1"/>
  <c r="B46" i="20"/>
  <c r="D46" i="20" s="1"/>
  <c r="E45" i="20"/>
  <c r="G45" i="20" s="1"/>
  <c r="B45" i="20"/>
  <c r="D45" i="20" s="1"/>
  <c r="E44" i="20"/>
  <c r="G44" i="20" s="1"/>
  <c r="B44" i="20"/>
  <c r="D44" i="20" s="1"/>
  <c r="E43" i="20"/>
  <c r="G43" i="20" s="1"/>
  <c r="B43" i="20"/>
  <c r="D43" i="20" s="1"/>
  <c r="E42" i="20"/>
  <c r="G42" i="20" s="1"/>
  <c r="B42" i="20"/>
  <c r="D42" i="20" s="1"/>
  <c r="E41" i="20"/>
  <c r="G41" i="20" s="1"/>
  <c r="B41" i="20"/>
  <c r="D41" i="20" s="1"/>
  <c r="E40" i="20"/>
  <c r="G40" i="20" s="1"/>
  <c r="B40" i="20"/>
  <c r="D40" i="20" s="1"/>
  <c r="E39" i="20"/>
  <c r="G39" i="20" s="1"/>
  <c r="B39" i="20"/>
  <c r="D39" i="20" s="1"/>
  <c r="E38" i="20"/>
  <c r="G38" i="20" s="1"/>
  <c r="B38" i="20"/>
  <c r="D38" i="20" s="1"/>
  <c r="E37" i="20"/>
  <c r="G37" i="20" s="1"/>
  <c r="B37" i="20"/>
  <c r="D37" i="20" s="1"/>
  <c r="E36" i="20"/>
  <c r="G36" i="20" s="1"/>
  <c r="B36" i="20"/>
  <c r="D36" i="20" s="1"/>
  <c r="E35" i="20"/>
  <c r="G35" i="20" s="1"/>
  <c r="B35" i="20"/>
  <c r="D35" i="20" s="1"/>
  <c r="E34" i="20"/>
  <c r="G34" i="20" s="1"/>
  <c r="B34" i="20"/>
  <c r="D34" i="20" s="1"/>
  <c r="E33" i="20"/>
  <c r="G33" i="20" s="1"/>
  <c r="B33" i="20"/>
  <c r="D33" i="20" s="1"/>
  <c r="E32" i="20"/>
  <c r="G32" i="20" s="1"/>
  <c r="B32" i="20"/>
  <c r="D32" i="20" s="1"/>
  <c r="E31" i="20"/>
  <c r="G31" i="20" s="1"/>
  <c r="B31" i="20"/>
  <c r="D31" i="20" s="1"/>
  <c r="E30" i="20"/>
  <c r="G30" i="20" s="1"/>
  <c r="B30" i="20"/>
  <c r="D30" i="20" s="1"/>
  <c r="E29" i="20"/>
  <c r="G29" i="20" s="1"/>
  <c r="B29" i="20"/>
  <c r="D29" i="20" s="1"/>
  <c r="E28" i="20"/>
  <c r="G28" i="20" s="1"/>
  <c r="B28" i="20"/>
  <c r="D28" i="20" s="1"/>
  <c r="E27" i="20"/>
  <c r="G27" i="20" s="1"/>
  <c r="B27" i="20"/>
  <c r="D27" i="20" s="1"/>
  <c r="E26" i="20"/>
  <c r="G26" i="20" s="1"/>
  <c r="B26" i="20"/>
  <c r="D26" i="20" s="1"/>
  <c r="E25" i="20"/>
  <c r="G25" i="20" s="1"/>
  <c r="B25" i="20"/>
  <c r="D25" i="20" s="1"/>
  <c r="E24" i="20"/>
  <c r="G24" i="20" s="1"/>
  <c r="B24" i="20"/>
  <c r="D24" i="20" s="1"/>
  <c r="E23" i="20"/>
  <c r="G23" i="20" s="1"/>
  <c r="B23" i="20"/>
  <c r="D23" i="20" s="1"/>
  <c r="E22" i="20"/>
  <c r="G22" i="20" s="1"/>
  <c r="B22" i="20"/>
  <c r="D22" i="20" s="1"/>
  <c r="E21" i="20"/>
  <c r="G21" i="20" s="1"/>
  <c r="B21" i="20"/>
  <c r="D21" i="20" s="1"/>
  <c r="E20" i="20"/>
  <c r="G20" i="20" s="1"/>
  <c r="B20" i="20"/>
  <c r="D20" i="20" s="1"/>
  <c r="E19" i="20"/>
  <c r="G19" i="20" s="1"/>
  <c r="B19" i="20"/>
  <c r="D19" i="20" s="1"/>
  <c r="E18" i="20"/>
  <c r="G18" i="20" s="1"/>
  <c r="B18" i="20"/>
  <c r="D18" i="20" s="1"/>
  <c r="E17" i="20"/>
  <c r="G17" i="20" s="1"/>
  <c r="B17" i="20"/>
  <c r="D17" i="20" s="1"/>
  <c r="E16" i="20"/>
  <c r="G16" i="20" s="1"/>
  <c r="B16" i="20"/>
  <c r="D16" i="20" s="1"/>
  <c r="E15" i="20"/>
  <c r="G15" i="20" s="1"/>
  <c r="B15" i="20"/>
  <c r="D15" i="20" s="1"/>
  <c r="E14" i="20"/>
  <c r="G14" i="20" s="1"/>
  <c r="B14" i="20"/>
  <c r="D14" i="20" s="1"/>
  <c r="E13" i="20"/>
  <c r="G13" i="20" s="1"/>
  <c r="B13" i="20"/>
  <c r="D13" i="20" s="1"/>
  <c r="E12" i="20"/>
  <c r="G12" i="20" s="1"/>
  <c r="B12" i="20"/>
  <c r="D12" i="20" s="1"/>
  <c r="E11" i="20"/>
  <c r="G11" i="20" s="1"/>
  <c r="B11" i="20"/>
  <c r="D11" i="20" s="1"/>
  <c r="E10" i="20"/>
  <c r="G10" i="20" s="1"/>
  <c r="B10" i="20"/>
  <c r="D10" i="20" s="1"/>
  <c r="E9" i="20"/>
  <c r="G9" i="20" s="1"/>
  <c r="B9" i="20"/>
  <c r="D9" i="20" s="1"/>
  <c r="E8" i="20"/>
  <c r="G8" i="20" s="1"/>
  <c r="B8" i="20"/>
  <c r="D8" i="20" s="1"/>
  <c r="E7" i="20"/>
  <c r="G7" i="20" s="1"/>
  <c r="B7" i="20"/>
  <c r="D7" i="20" s="1"/>
  <c r="E6" i="20"/>
  <c r="G6" i="20" s="1"/>
  <c r="B6" i="20"/>
  <c r="D6" i="20" s="1"/>
  <c r="E5" i="20"/>
  <c r="G5" i="20" s="1"/>
  <c r="B5" i="20"/>
  <c r="D5" i="20" s="1"/>
  <c r="I24" i="11" l="1"/>
  <c r="I30" i="11"/>
  <c r="I31" i="11"/>
  <c r="I22" i="11"/>
  <c r="I28" i="11"/>
  <c r="I29" i="11"/>
  <c r="I32" i="11"/>
  <c r="I23" i="11"/>
  <c r="I27" i="11"/>
  <c r="I25" i="11"/>
  <c r="I26" i="11"/>
  <c r="P17" i="18"/>
  <c r="P18" i="18"/>
  <c r="Q20" i="18"/>
  <c r="P19" i="18"/>
  <c r="Q21" i="18"/>
  <c r="Q22" i="18"/>
  <c r="P21" i="18"/>
  <c r="Q23" i="18"/>
  <c r="R23" i="18" s="1"/>
  <c r="P22" i="18"/>
  <c r="Q24" i="18"/>
  <c r="P23" i="18"/>
  <c r="Q25" i="18"/>
  <c r="R25" i="18" s="1"/>
  <c r="P24" i="18"/>
  <c r="Q26" i="18"/>
  <c r="P25" i="18"/>
  <c r="Q27" i="18"/>
  <c r="P26" i="18"/>
  <c r="Q28" i="18"/>
  <c r="R28" i="18" s="1"/>
  <c r="P27" i="18"/>
  <c r="P28" i="18"/>
  <c r="Q30" i="18"/>
  <c r="P29" i="18"/>
  <c r="Q31" i="18"/>
  <c r="P30" i="18"/>
  <c r="Q32" i="18"/>
  <c r="Q33" i="18"/>
  <c r="Q34" i="18"/>
  <c r="P33" i="18"/>
  <c r="P4" i="18"/>
  <c r="P5" i="18"/>
  <c r="P6" i="18"/>
  <c r="P7" i="18"/>
  <c r="P10" i="18"/>
  <c r="P11" i="18"/>
  <c r="P12" i="18"/>
  <c r="P13" i="18"/>
  <c r="Q35" i="18"/>
  <c r="Q5" i="18"/>
  <c r="R5" i="18" s="1"/>
  <c r="Q6" i="18"/>
  <c r="R6" i="18" s="1"/>
  <c r="Q7" i="18"/>
  <c r="R7" i="18" s="1"/>
  <c r="Q8" i="18"/>
  <c r="R8" i="18" s="1"/>
  <c r="Q9" i="18"/>
  <c r="R9" i="18" s="1"/>
  <c r="Q11" i="18"/>
  <c r="R11" i="18" s="1"/>
  <c r="Q12" i="18"/>
  <c r="R12" i="18" s="1"/>
  <c r="Q29" i="18"/>
  <c r="P3" i="18"/>
  <c r="A11" i="15" l="1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10" i="15"/>
  <c r="X36" i="3"/>
  <c r="J14" i="15"/>
  <c r="G31" i="15"/>
  <c r="J31" i="15" s="1"/>
  <c r="G32" i="15"/>
  <c r="J32" i="15" s="1"/>
  <c r="G33" i="15"/>
  <c r="J33" i="15" s="1"/>
  <c r="G34" i="15"/>
  <c r="J34" i="15" s="1"/>
  <c r="G35" i="15"/>
  <c r="J35" i="15" s="1"/>
  <c r="G36" i="15"/>
  <c r="J36" i="15" s="1"/>
  <c r="G37" i="15"/>
  <c r="J37" i="15" s="1"/>
  <c r="G38" i="15"/>
  <c r="J38" i="15" s="1"/>
  <c r="G39" i="15"/>
  <c r="J39" i="15" s="1"/>
  <c r="G40" i="15"/>
  <c r="J40" i="15" s="1"/>
  <c r="J12" i="15"/>
  <c r="E41" i="15"/>
  <c r="L36" i="11" l="1"/>
  <c r="J11" i="15"/>
  <c r="L35" i="11"/>
  <c r="B32" i="8"/>
  <c r="L34" i="11"/>
  <c r="B31" i="8"/>
  <c r="L33" i="11"/>
  <c r="B30" i="8"/>
  <c r="L32" i="11"/>
  <c r="B29" i="8"/>
  <c r="L31" i="11"/>
  <c r="B28" i="8"/>
  <c r="B4" i="8"/>
  <c r="B3" i="8"/>
  <c r="B10" i="8"/>
  <c r="L13" i="11"/>
  <c r="L12" i="11"/>
  <c r="B7" i="8"/>
  <c r="B6" i="8"/>
  <c r="L23" i="11"/>
  <c r="B20" i="8"/>
  <c r="L22" i="11"/>
  <c r="B19" i="8"/>
  <c r="L21" i="11"/>
  <c r="B18" i="8"/>
  <c r="L20" i="11"/>
  <c r="B17" i="8"/>
  <c r="L17" i="11"/>
  <c r="B14" i="8"/>
  <c r="L28" i="11"/>
  <c r="B25" i="8"/>
  <c r="L30" i="11"/>
  <c r="B27" i="8"/>
  <c r="L29" i="11"/>
  <c r="B26" i="8"/>
  <c r="L27" i="11"/>
  <c r="B24" i="8"/>
  <c r="L26" i="11"/>
  <c r="B23" i="8"/>
  <c r="L25" i="11"/>
  <c r="B22" i="8"/>
  <c r="L24" i="11"/>
  <c r="B21" i="8"/>
  <c r="L19" i="11"/>
  <c r="B16" i="8"/>
  <c r="L16" i="11"/>
  <c r="B13" i="8"/>
  <c r="L15" i="11"/>
  <c r="B12" i="8"/>
  <c r="B11" i="8"/>
  <c r="L14" i="11"/>
  <c r="B9" i="8"/>
  <c r="G41" i="15"/>
  <c r="J41" i="15" s="1"/>
  <c r="F34" i="24" l="1"/>
  <c r="D56" i="3"/>
  <c r="F3" i="24" l="1"/>
  <c r="F4" i="24"/>
  <c r="F5" i="24"/>
  <c r="F6" i="24"/>
  <c r="F7" i="24"/>
  <c r="F8" i="24"/>
  <c r="F9" i="24"/>
  <c r="F17" i="24"/>
  <c r="F18" i="24"/>
  <c r="F19" i="24"/>
  <c r="F20" i="24"/>
  <c r="F27" i="24"/>
  <c r="F28" i="24"/>
  <c r="F29" i="24"/>
  <c r="F30" i="24"/>
  <c r="F31" i="24"/>
  <c r="F32" i="24"/>
  <c r="F33" i="24"/>
  <c r="H41" i="15"/>
  <c r="E34" i="24"/>
  <c r="E30" i="24"/>
  <c r="E29" i="24"/>
  <c r="E26" i="24"/>
  <c r="F25" i="26" s="1"/>
  <c r="E25" i="24"/>
  <c r="F24" i="26" s="1"/>
  <c r="E22" i="24"/>
  <c r="F21" i="26" s="1"/>
  <c r="E21" i="24"/>
  <c r="E18" i="24"/>
  <c r="G11" i="11"/>
  <c r="I11" i="11" s="1"/>
  <c r="F28" i="26" l="1"/>
  <c r="F29" i="26"/>
  <c r="C5" i="23"/>
  <c r="H5" i="11"/>
  <c r="I5" i="11" s="1"/>
  <c r="H6" i="11"/>
  <c r="G7" i="11"/>
  <c r="H7" i="11"/>
  <c r="G8" i="11"/>
  <c r="C8" i="23"/>
  <c r="H8" i="11"/>
  <c r="G9" i="11"/>
  <c r="C9" i="23"/>
  <c r="H9" i="11"/>
  <c r="G10" i="11"/>
  <c r="C10" i="23"/>
  <c r="H10" i="11"/>
  <c r="AS21" i="1"/>
  <c r="H33" i="11"/>
  <c r="I33" i="11" s="1"/>
  <c r="H34" i="11"/>
  <c r="I34" i="11" s="1"/>
  <c r="H35" i="11"/>
  <c r="I35" i="11" s="1"/>
  <c r="H36" i="11"/>
  <c r="I36" i="11" s="1"/>
  <c r="F16" i="24"/>
  <c r="F18" i="11"/>
  <c r="B15" i="7" s="1"/>
  <c r="G18" i="11"/>
  <c r="I18" i="11" s="1"/>
  <c r="H17" i="11"/>
  <c r="F15" i="24"/>
  <c r="F17" i="11"/>
  <c r="B14" i="7" s="1"/>
  <c r="G17" i="11"/>
  <c r="G16" i="11"/>
  <c r="H15" i="11"/>
  <c r="F13" i="24"/>
  <c r="F15" i="11"/>
  <c r="B12" i="7" s="1"/>
  <c r="G15" i="11"/>
  <c r="H14" i="11"/>
  <c r="F12" i="24"/>
  <c r="F14" i="11"/>
  <c r="B11" i="7" s="1"/>
  <c r="G14" i="11"/>
  <c r="H16" i="11"/>
  <c r="H13" i="11"/>
  <c r="F14" i="24"/>
  <c r="F16" i="11"/>
  <c r="B13" i="7" s="1"/>
  <c r="F11" i="24"/>
  <c r="F13" i="11"/>
  <c r="B10" i="7" s="1"/>
  <c r="G13" i="11"/>
  <c r="C12" i="23"/>
  <c r="H12" i="11"/>
  <c r="F10" i="24"/>
  <c r="F12" i="11"/>
  <c r="B9" i="7" s="1"/>
  <c r="G12" i="11"/>
  <c r="D10" i="23"/>
  <c r="D9" i="23"/>
  <c r="D8" i="23"/>
  <c r="E15" i="24"/>
  <c r="AS9" i="1"/>
  <c r="E5" i="24"/>
  <c r="C30" i="23"/>
  <c r="I30" i="24"/>
  <c r="E33" i="24"/>
  <c r="F32" i="26" s="1"/>
  <c r="C33" i="23"/>
  <c r="I33" i="24"/>
  <c r="C32" i="23"/>
  <c r="I32" i="24"/>
  <c r="C31" i="23"/>
  <c r="I31" i="24"/>
  <c r="C29" i="23"/>
  <c r="I29" i="24"/>
  <c r="C28" i="23"/>
  <c r="I28" i="24"/>
  <c r="C27" i="23"/>
  <c r="I3" i="24"/>
  <c r="C7" i="23"/>
  <c r="I5" i="24"/>
  <c r="I7" i="24"/>
  <c r="C11" i="23"/>
  <c r="I9" i="24"/>
  <c r="C13" i="23"/>
  <c r="I11" i="24"/>
  <c r="C15" i="23"/>
  <c r="I13" i="24"/>
  <c r="C17" i="23"/>
  <c r="I15" i="24"/>
  <c r="C21" i="23"/>
  <c r="I19" i="24"/>
  <c r="C23" i="23"/>
  <c r="C25" i="23"/>
  <c r="C6" i="23"/>
  <c r="I4" i="24"/>
  <c r="I6" i="24"/>
  <c r="I8" i="24"/>
  <c r="I10" i="24"/>
  <c r="C14" i="23"/>
  <c r="I12" i="24"/>
  <c r="C16" i="23"/>
  <c r="I14" i="24"/>
  <c r="C20" i="23"/>
  <c r="I18" i="24"/>
  <c r="I20" i="24"/>
  <c r="C22" i="23"/>
  <c r="C24" i="23"/>
  <c r="C26" i="23"/>
  <c r="D6" i="23"/>
  <c r="E4" i="24"/>
  <c r="D12" i="23"/>
  <c r="E10" i="24"/>
  <c r="D16" i="23"/>
  <c r="E14" i="24"/>
  <c r="E8" i="24"/>
  <c r="F7" i="26" s="1"/>
  <c r="D5" i="23"/>
  <c r="E3" i="24"/>
  <c r="D11" i="23"/>
  <c r="E9" i="24"/>
  <c r="D13" i="23"/>
  <c r="E11" i="24"/>
  <c r="D15" i="23"/>
  <c r="E13" i="24"/>
  <c r="E6" i="24"/>
  <c r="D14" i="23"/>
  <c r="E12" i="24"/>
  <c r="E7" i="24"/>
  <c r="E19" i="24"/>
  <c r="D23" i="23"/>
  <c r="E23" i="24"/>
  <c r="F22" i="26" s="1"/>
  <c r="D27" i="23"/>
  <c r="E27" i="24"/>
  <c r="F26" i="26" s="1"/>
  <c r="D31" i="23"/>
  <c r="E31" i="24"/>
  <c r="F30" i="26" s="1"/>
  <c r="E20" i="24"/>
  <c r="D24" i="23"/>
  <c r="E24" i="24"/>
  <c r="F23" i="26" s="1"/>
  <c r="D28" i="23"/>
  <c r="E28" i="24"/>
  <c r="F27" i="26" s="1"/>
  <c r="D32" i="23"/>
  <c r="E32" i="24"/>
  <c r="F31" i="26" s="1"/>
  <c r="C19" i="23"/>
  <c r="I17" i="24"/>
  <c r="D19" i="23"/>
  <c r="E17" i="24"/>
  <c r="C18" i="23"/>
  <c r="I16" i="24"/>
  <c r="D18" i="23"/>
  <c r="E16" i="24"/>
  <c r="AS33" i="1"/>
  <c r="AT33" i="1" s="1"/>
  <c r="AS37" i="1"/>
  <c r="AT37" i="1" s="1"/>
  <c r="AS44" i="1"/>
  <c r="AT44" i="1" s="1"/>
  <c r="AT43" i="1"/>
  <c r="AS29" i="1"/>
  <c r="AT29" i="1" s="1"/>
  <c r="AS41" i="1"/>
  <c r="AT41" i="1" s="1"/>
  <c r="F36" i="14" s="1"/>
  <c r="AS10" i="1"/>
  <c r="AT10" i="1" s="1"/>
  <c r="AS30" i="1"/>
  <c r="AT30" i="1" s="1"/>
  <c r="AS34" i="1"/>
  <c r="AT34" i="1" s="1"/>
  <c r="AS38" i="1"/>
  <c r="AT38" i="1" s="1"/>
  <c r="D30" i="23"/>
  <c r="D26" i="23"/>
  <c r="D22" i="23"/>
  <c r="D29" i="23"/>
  <c r="D25" i="23"/>
  <c r="AS13" i="1"/>
  <c r="AT13" i="1" s="1"/>
  <c r="F8" i="14" s="1"/>
  <c r="AS26" i="1"/>
  <c r="AT26" i="1" s="1"/>
  <c r="D7" i="23"/>
  <c r="D20" i="23"/>
  <c r="AS25" i="1"/>
  <c r="AT25" i="1" s="1"/>
  <c r="D17" i="23"/>
  <c r="AS27" i="1"/>
  <c r="AT27" i="1" s="1"/>
  <c r="F22" i="14" s="1"/>
  <c r="AS31" i="1"/>
  <c r="AT31" i="1" s="1"/>
  <c r="AS35" i="1"/>
  <c r="AS28" i="1"/>
  <c r="AT28" i="1" s="1"/>
  <c r="AS36" i="1"/>
  <c r="AS40" i="1"/>
  <c r="AS39" i="1"/>
  <c r="B8" i="7"/>
  <c r="AS11" i="1"/>
  <c r="AT11" i="1" s="1"/>
  <c r="F6" i="14" s="1"/>
  <c r="AS14" i="1"/>
  <c r="AT14" i="1" s="1"/>
  <c r="F9" i="14" s="1"/>
  <c r="AS15" i="1"/>
  <c r="AT15" i="1" s="1"/>
  <c r="F10" i="14" s="1"/>
  <c r="AS16" i="1"/>
  <c r="AT16" i="1" s="1"/>
  <c r="F11" i="14" s="1"/>
  <c r="AS17" i="1"/>
  <c r="AT17" i="1" s="1"/>
  <c r="F12" i="14" s="1"/>
  <c r="AS18" i="1"/>
  <c r="AT18" i="1" s="1"/>
  <c r="AS19" i="1"/>
  <c r="AT19" i="1" s="1"/>
  <c r="AS20" i="1"/>
  <c r="AT20" i="1" s="1"/>
  <c r="AS22" i="1"/>
  <c r="AT22" i="1" s="1"/>
  <c r="AS23" i="1"/>
  <c r="AT23" i="1" s="1"/>
  <c r="AS24" i="1"/>
  <c r="AT24" i="1" s="1"/>
  <c r="F39" i="14" l="1"/>
  <c r="AT9" i="1"/>
  <c r="AT21" i="1"/>
  <c r="D12" i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I14" i="11"/>
  <c r="I17" i="11"/>
  <c r="I16" i="11"/>
  <c r="I13" i="11"/>
  <c r="I12" i="11"/>
  <c r="I15" i="11"/>
  <c r="AT42" i="1"/>
  <c r="AT36" i="1"/>
  <c r="AT40" i="1"/>
  <c r="AT35" i="1"/>
  <c r="AT39" i="1"/>
  <c r="AS45" i="1"/>
  <c r="AS47" i="1" s="1"/>
  <c r="AS48" i="1" s="1"/>
  <c r="B37" i="12"/>
  <c r="AF37" i="13"/>
  <c r="AG37" i="13"/>
  <c r="AH37" i="13"/>
  <c r="Y37" i="13"/>
  <c r="Z37" i="13" s="1"/>
  <c r="AA37" i="13" s="1"/>
  <c r="U37" i="13"/>
  <c r="V37" i="13" s="1"/>
  <c r="Q37" i="13"/>
  <c r="R37" i="13" s="1"/>
  <c r="A37" i="12"/>
  <c r="AH5" i="3"/>
  <c r="AH6" i="3"/>
  <c r="AE5" i="3"/>
  <c r="AB5" i="3"/>
  <c r="Y5" i="3"/>
  <c r="V5" i="3"/>
  <c r="V6" i="3"/>
  <c r="O5" i="3"/>
  <c r="O6" i="3"/>
  <c r="L5" i="3"/>
  <c r="L6" i="3"/>
  <c r="K6" i="3"/>
  <c r="I5" i="3"/>
  <c r="I6" i="3"/>
  <c r="F5" i="3"/>
  <c r="F6" i="3"/>
  <c r="C34" i="23"/>
  <c r="AG10" i="3"/>
  <c r="AG12" i="3"/>
  <c r="AG13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D7" i="3"/>
  <c r="AD8" i="3"/>
  <c r="AD9" i="3"/>
  <c r="AD10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6" i="3"/>
  <c r="D46" i="3"/>
  <c r="H46" i="3"/>
  <c r="J46" i="3"/>
  <c r="AD38" i="3" l="1"/>
  <c r="AT45" i="1"/>
  <c r="AC19" i="13"/>
  <c r="H18" i="23" s="1"/>
  <c r="AC20" i="13"/>
  <c r="H19" i="23" s="1"/>
  <c r="AC21" i="13"/>
  <c r="H20" i="23" s="1"/>
  <c r="AC22" i="13"/>
  <c r="H21" i="23" s="1"/>
  <c r="L15" i="3"/>
  <c r="L16" i="3"/>
  <c r="L17" i="3"/>
  <c r="L18" i="3"/>
  <c r="L19" i="3"/>
  <c r="L20" i="3"/>
  <c r="L21" i="3"/>
  <c r="L22" i="3"/>
  <c r="AJ7" i="3" l="1"/>
  <c r="AJ8" i="3"/>
  <c r="AJ9" i="3"/>
  <c r="AJ10" i="3"/>
  <c r="AJ11" i="3"/>
  <c r="AJ12" i="3"/>
  <c r="AJ13" i="3"/>
  <c r="AJ14" i="3"/>
  <c r="AJ15" i="3"/>
  <c r="AJ16" i="3"/>
  <c r="AJ17" i="3"/>
  <c r="AJ18" i="3"/>
  <c r="AJ19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6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7" i="3"/>
  <c r="AJ38" i="3" l="1"/>
  <c r="J5" i="18"/>
  <c r="J6" i="18"/>
  <c r="J7" i="18"/>
  <c r="J8" i="18"/>
  <c r="J9" i="18"/>
  <c r="J10" i="18"/>
  <c r="J11" i="18"/>
  <c r="J14" i="18"/>
  <c r="J15" i="18"/>
  <c r="J16" i="18"/>
  <c r="J17" i="18"/>
  <c r="J18" i="18"/>
  <c r="J19" i="18"/>
  <c r="J21" i="18"/>
  <c r="J23" i="18"/>
  <c r="J24" i="18"/>
  <c r="J25" i="18"/>
  <c r="J26" i="18"/>
  <c r="J27" i="18"/>
  <c r="J28" i="18"/>
  <c r="J29" i="18"/>
  <c r="J31" i="18"/>
  <c r="J32" i="18"/>
  <c r="J34" i="18"/>
  <c r="K7" i="3"/>
  <c r="N7" i="3"/>
  <c r="J4" i="18"/>
  <c r="J3" i="18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5" i="10"/>
  <c r="L7" i="10"/>
  <c r="L8" i="10"/>
  <c r="L9" i="10"/>
  <c r="L25" i="10"/>
  <c r="L26" i="10"/>
  <c r="L27" i="10"/>
  <c r="L28" i="10"/>
  <c r="L29" i="10"/>
  <c r="L30" i="10"/>
  <c r="L31" i="10"/>
  <c r="L32" i="10"/>
  <c r="L33" i="10"/>
  <c r="L34" i="10"/>
  <c r="L35" i="10"/>
  <c r="L5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" i="18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" i="24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5" i="23"/>
  <c r="A2" i="23" s="1"/>
  <c r="K24" i="18"/>
  <c r="K25" i="18"/>
  <c r="K26" i="18"/>
  <c r="K27" i="18"/>
  <c r="K28" i="18"/>
  <c r="K29" i="18"/>
  <c r="K30" i="18"/>
  <c r="K31" i="18"/>
  <c r="A6" i="10"/>
  <c r="A7" i="10"/>
  <c r="A5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2" i="9"/>
  <c r="N8" i="3"/>
  <c r="N9" i="3"/>
  <c r="N6" i="3" l="1"/>
  <c r="F31" i="3"/>
  <c r="G6" i="10"/>
  <c r="G7" i="10"/>
  <c r="G8" i="10"/>
  <c r="G9" i="10"/>
  <c r="G10" i="10"/>
  <c r="G11" i="10"/>
  <c r="G12" i="10"/>
  <c r="G13" i="10"/>
  <c r="G14" i="10"/>
  <c r="F30" i="10"/>
  <c r="F29" i="10"/>
  <c r="F30" i="3"/>
  <c r="F29" i="3"/>
  <c r="G35" i="10" l="1"/>
  <c r="G33" i="10"/>
  <c r="G29" i="10"/>
  <c r="G25" i="10"/>
  <c r="G21" i="10"/>
  <c r="G17" i="10"/>
  <c r="G34" i="10"/>
  <c r="G30" i="10"/>
  <c r="G26" i="10"/>
  <c r="G22" i="10"/>
  <c r="G18" i="10"/>
  <c r="G31" i="10"/>
  <c r="G27" i="10"/>
  <c r="G23" i="10"/>
  <c r="G19" i="10"/>
  <c r="G32" i="10"/>
  <c r="G28" i="10"/>
  <c r="G24" i="10"/>
  <c r="G20" i="10"/>
  <c r="G16" i="10"/>
  <c r="G15" i="10"/>
  <c r="F28" i="3"/>
  <c r="F27" i="3"/>
  <c r="H26" i="3"/>
  <c r="AE20" i="3"/>
  <c r="AE19" i="3"/>
  <c r="AE18" i="3"/>
  <c r="AE17" i="3"/>
  <c r="AB8" i="3"/>
  <c r="AB9" i="3"/>
  <c r="AB10" i="3"/>
  <c r="AB11" i="3"/>
  <c r="AB12" i="3"/>
  <c r="AB13" i="3"/>
  <c r="AB14" i="3"/>
  <c r="AB15" i="3"/>
  <c r="AB16" i="3"/>
  <c r="AB17" i="3"/>
  <c r="AB19" i="3"/>
  <c r="AB20" i="3"/>
  <c r="AB21" i="3"/>
  <c r="AB22" i="3"/>
  <c r="AB23" i="3"/>
  <c r="AB24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E12" i="3"/>
  <c r="H27" i="3" l="1"/>
  <c r="AE13" i="3"/>
  <c r="Q4" i="18"/>
  <c r="AB6" i="3"/>
  <c r="AB7" i="3" l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2" i="8"/>
  <c r="AG17" i="13"/>
  <c r="AG18" i="13"/>
  <c r="AG19" i="13"/>
  <c r="AG20" i="13"/>
  <c r="AG21" i="13"/>
  <c r="AG22" i="13"/>
  <c r="AG23" i="13"/>
  <c r="Q15" i="3"/>
  <c r="Q16" i="3"/>
  <c r="Q17" i="3"/>
  <c r="Q18" i="3"/>
  <c r="Q19" i="3"/>
  <c r="Q20" i="3"/>
  <c r="Q21" i="3"/>
  <c r="Q22" i="3"/>
  <c r="Q24" i="3"/>
  <c r="Q25" i="3"/>
  <c r="Q26" i="3"/>
  <c r="Q27" i="3"/>
  <c r="O16" i="3"/>
  <c r="O17" i="3"/>
  <c r="O18" i="3"/>
  <c r="O19" i="3"/>
  <c r="O21" i="3"/>
  <c r="O22" i="3"/>
  <c r="O23" i="3"/>
  <c r="O24" i="3"/>
  <c r="O25" i="3"/>
  <c r="H6" i="3"/>
  <c r="H7" i="3"/>
  <c r="H8" i="3"/>
  <c r="H9" i="3"/>
  <c r="H10" i="3"/>
  <c r="H11" i="3"/>
  <c r="H12" i="3"/>
  <c r="H13" i="3"/>
  <c r="H18" i="3"/>
  <c r="H19" i="3"/>
  <c r="H20" i="3"/>
  <c r="H21" i="3"/>
  <c r="H22" i="3"/>
  <c r="H23" i="3"/>
  <c r="F7" i="3"/>
  <c r="F8" i="3"/>
  <c r="F9" i="3"/>
  <c r="F10" i="3"/>
  <c r="F11" i="3"/>
  <c r="F12" i="3"/>
  <c r="F13" i="3"/>
  <c r="F14" i="3"/>
  <c r="F15" i="3"/>
  <c r="F18" i="3"/>
  <c r="F19" i="3"/>
  <c r="F20" i="3"/>
  <c r="F21" i="3"/>
  <c r="F22" i="3"/>
  <c r="F23" i="3"/>
  <c r="AC23" i="13"/>
  <c r="K20" i="12"/>
  <c r="M20" i="12" s="1"/>
  <c r="K21" i="12"/>
  <c r="M21" i="12" s="1"/>
  <c r="K22" i="12"/>
  <c r="M22" i="12" s="1"/>
  <c r="K23" i="12"/>
  <c r="M23" i="12" s="1"/>
  <c r="K24" i="12"/>
  <c r="M24" i="12" s="1"/>
  <c r="K25" i="12"/>
  <c r="M25" i="12" s="1"/>
  <c r="K26" i="12"/>
  <c r="M26" i="12" s="1"/>
  <c r="K27" i="12"/>
  <c r="M27" i="12" s="1"/>
  <c r="K16" i="12"/>
  <c r="M16" i="12" s="1"/>
  <c r="K17" i="12"/>
  <c r="M17" i="12" s="1"/>
  <c r="K18" i="12"/>
  <c r="M18" i="12" s="1"/>
  <c r="K19" i="12"/>
  <c r="M19" i="12" s="1"/>
  <c r="K15" i="12"/>
  <c r="M15" i="12" s="1"/>
  <c r="AB7" i="18"/>
  <c r="AA8" i="18" s="1"/>
  <c r="AB8" i="18"/>
  <c r="AA9" i="18" s="1"/>
  <c r="AB9" i="18"/>
  <c r="AA10" i="18" s="1"/>
  <c r="AB10" i="18"/>
  <c r="AB11" i="18"/>
  <c r="AA12" i="18" s="1"/>
  <c r="AB12" i="18"/>
  <c r="AA13" i="18" s="1"/>
  <c r="AB13" i="18"/>
  <c r="AA14" i="18" s="1"/>
  <c r="AB14" i="18"/>
  <c r="AA15" i="18" s="1"/>
  <c r="AB15" i="18"/>
  <c r="AA16" i="18" s="1"/>
  <c r="AB16" i="18"/>
  <c r="AA17" i="18" s="1"/>
  <c r="AB17" i="18"/>
  <c r="AA18" i="18" s="1"/>
  <c r="AB18" i="18"/>
  <c r="AB19" i="18"/>
  <c r="AA20" i="18" s="1"/>
  <c r="AB20" i="18"/>
  <c r="AB21" i="18"/>
  <c r="AA22" i="18" s="1"/>
  <c r="AB22" i="18"/>
  <c r="AA23" i="18" s="1"/>
  <c r="AB23" i="18"/>
  <c r="AA24" i="18" s="1"/>
  <c r="AB24" i="18"/>
  <c r="AA25" i="18" s="1"/>
  <c r="AB25" i="18"/>
  <c r="AA26" i="18" s="1"/>
  <c r="AB26" i="18"/>
  <c r="AB27" i="18"/>
  <c r="AA28" i="18" s="1"/>
  <c r="AB28" i="18"/>
  <c r="AA29" i="18" s="1"/>
  <c r="AB29" i="18"/>
  <c r="AA30" i="18" s="1"/>
  <c r="AB30" i="18"/>
  <c r="AB31" i="18"/>
  <c r="AA32" i="18" s="1"/>
  <c r="AB32" i="18"/>
  <c r="AA33" i="18" s="1"/>
  <c r="AB33" i="18"/>
  <c r="K5" i="18"/>
  <c r="K6" i="18"/>
  <c r="K7" i="18"/>
  <c r="K8" i="18"/>
  <c r="K9" i="18"/>
  <c r="K10" i="18"/>
  <c r="K11" i="18"/>
  <c r="K12" i="18"/>
  <c r="L12" i="18" s="1"/>
  <c r="K14" i="18"/>
  <c r="K15" i="18"/>
  <c r="K16" i="18"/>
  <c r="L16" i="18" s="1"/>
  <c r="K17" i="18"/>
  <c r="K18" i="18"/>
  <c r="K19" i="18"/>
  <c r="K20" i="18"/>
  <c r="K21" i="18"/>
  <c r="K22" i="18"/>
  <c r="K23" i="18"/>
  <c r="K32" i="18"/>
  <c r="K33" i="18"/>
  <c r="K34" i="18"/>
  <c r="K35" i="18"/>
  <c r="AC32" i="18" l="1"/>
  <c r="AA34" i="18"/>
  <c r="AC34" i="18" s="1"/>
  <c r="AC33" i="18"/>
  <c r="AC29" i="18"/>
  <c r="AA31" i="18"/>
  <c r="AC31" i="18" s="1"/>
  <c r="AC30" i="18"/>
  <c r="AC28" i="18"/>
  <c r="AC25" i="18"/>
  <c r="AC24" i="18"/>
  <c r="AC23" i="18"/>
  <c r="AC22" i="18"/>
  <c r="AA27" i="18"/>
  <c r="AC27" i="18" s="1"/>
  <c r="AC26" i="18"/>
  <c r="AC17" i="18"/>
  <c r="AC16" i="18"/>
  <c r="AA19" i="18"/>
  <c r="AC19" i="18" s="1"/>
  <c r="AC18" i="18"/>
  <c r="AC15" i="18"/>
  <c r="AA21" i="18"/>
  <c r="AC21" i="18" s="1"/>
  <c r="AC20" i="18"/>
  <c r="AC14" i="18"/>
  <c r="AC13" i="18"/>
  <c r="AC12" i="18"/>
  <c r="AC9" i="18"/>
  <c r="AC8" i="18"/>
  <c r="AA11" i="18"/>
  <c r="AC11" i="18" s="1"/>
  <c r="AC10" i="18"/>
  <c r="AA7" i="18"/>
  <c r="AC7" i="18" s="1"/>
  <c r="D58" i="3"/>
  <c r="N17" i="12"/>
  <c r="E16" i="3"/>
  <c r="K14" i="3"/>
  <c r="K15" i="3"/>
  <c r="R15" i="3" s="1"/>
  <c r="K16" i="3"/>
  <c r="R16" i="3" s="1"/>
  <c r="K17" i="3"/>
  <c r="R17" i="3" s="1"/>
  <c r="K18" i="3"/>
  <c r="R18" i="3" s="1"/>
  <c r="K19" i="3"/>
  <c r="R19" i="3" s="1"/>
  <c r="K20" i="3"/>
  <c r="R20" i="3" s="1"/>
  <c r="K21" i="3"/>
  <c r="R21" i="3" s="1"/>
  <c r="K22" i="3"/>
  <c r="R22" i="3" s="1"/>
  <c r="K23" i="3"/>
  <c r="R23" i="3" s="1"/>
  <c r="K24" i="3"/>
  <c r="R24" i="3" s="1"/>
  <c r="R25" i="3"/>
  <c r="K26" i="3"/>
  <c r="R26" i="3" s="1"/>
  <c r="K27" i="3"/>
  <c r="R27" i="3" s="1"/>
  <c r="K4" i="18"/>
  <c r="K3" i="18"/>
  <c r="AB4" i="18"/>
  <c r="AB34" i="18"/>
  <c r="AC35" i="18" s="1"/>
  <c r="AB35" i="18"/>
  <c r="P34" i="18"/>
  <c r="P35" i="18"/>
  <c r="D47" i="3"/>
  <c r="D48" i="3"/>
  <c r="D49" i="3"/>
  <c r="D50" i="3"/>
  <c r="D51" i="3"/>
  <c r="D52" i="3"/>
  <c r="D53" i="3"/>
  <c r="D54" i="3"/>
  <c r="D55" i="3"/>
  <c r="D57" i="3"/>
  <c r="D59" i="3"/>
  <c r="D60" i="3"/>
  <c r="D61" i="3"/>
  <c r="D62" i="3"/>
  <c r="D63" i="3"/>
  <c r="D64" i="3"/>
  <c r="D65" i="3"/>
  <c r="K65" i="3" s="1"/>
  <c r="D66" i="3"/>
  <c r="D67" i="3"/>
  <c r="D68" i="3"/>
  <c r="D69" i="3"/>
  <c r="D70" i="3"/>
  <c r="D72" i="3"/>
  <c r="AA5" i="18" l="1"/>
  <c r="K15" i="10"/>
  <c r="F15" i="23"/>
  <c r="S14" i="18"/>
  <c r="S12" i="18"/>
  <c r="S9" i="18"/>
  <c r="S10" i="18"/>
  <c r="S8" i="18"/>
  <c r="S7" i="18"/>
  <c r="S18" i="18" l="1"/>
  <c r="S19" i="18"/>
  <c r="S20" i="18"/>
  <c r="S21" i="18"/>
  <c r="S17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16" i="18"/>
  <c r="S13" i="18"/>
  <c r="S11" i="18"/>
  <c r="S15" i="18" l="1"/>
  <c r="S34" i="18"/>
  <c r="K9" i="12"/>
  <c r="M9" i="12" s="1"/>
  <c r="K10" i="13" l="1"/>
  <c r="K11" i="13"/>
  <c r="K8" i="13"/>
  <c r="K9" i="13"/>
  <c r="S6" i="18"/>
  <c r="L6" i="10"/>
  <c r="S5" i="18"/>
  <c r="G5" i="10"/>
  <c r="B34" i="24"/>
  <c r="C34" i="24"/>
  <c r="A37" i="13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2" i="7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46" i="3"/>
  <c r="S4" i="18" l="1"/>
  <c r="S35" i="18"/>
  <c r="F9" i="10"/>
  <c r="F11" i="10"/>
  <c r="F12" i="10"/>
  <c r="F14" i="10"/>
  <c r="F15" i="10"/>
  <c r="F16" i="10"/>
  <c r="F18" i="10"/>
  <c r="F19" i="10"/>
  <c r="F20" i="10"/>
  <c r="F22" i="10"/>
  <c r="F33" i="10"/>
  <c r="F34" i="10"/>
  <c r="F35" i="10"/>
  <c r="I34" i="24"/>
  <c r="F32" i="10" l="1"/>
  <c r="F21" i="10"/>
  <c r="F31" i="10"/>
  <c r="F28" i="10"/>
  <c r="K7" i="13"/>
  <c r="K13" i="13"/>
  <c r="K6" i="13"/>
  <c r="K12" i="13"/>
  <c r="F17" i="10"/>
  <c r="F13" i="10"/>
  <c r="F10" i="10"/>
  <c r="F8" i="10"/>
  <c r="F7" i="10"/>
  <c r="F6" i="10"/>
  <c r="F5" i="10"/>
  <c r="K14" i="10" l="1"/>
  <c r="K13" i="10" l="1"/>
  <c r="K13" i="11"/>
  <c r="J50" i="3"/>
  <c r="J51" i="3"/>
  <c r="J52" i="3"/>
  <c r="J53" i="3"/>
  <c r="J54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70" i="3"/>
  <c r="H71" i="3"/>
  <c r="H72" i="3"/>
  <c r="H73" i="3"/>
  <c r="H74" i="3"/>
  <c r="H75" i="3"/>
  <c r="H76" i="3"/>
  <c r="H77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1" i="3"/>
  <c r="F72" i="3"/>
  <c r="F73" i="3"/>
  <c r="F74" i="3"/>
  <c r="F75" i="3"/>
  <c r="F76" i="3"/>
  <c r="F77" i="3"/>
  <c r="D73" i="3"/>
  <c r="D74" i="3"/>
  <c r="D77" i="3"/>
  <c r="H47" i="3"/>
  <c r="H48" i="3"/>
  <c r="H49" i="3"/>
  <c r="F47" i="3"/>
  <c r="F48" i="3"/>
  <c r="F49" i="3"/>
  <c r="K60" i="3" l="1"/>
  <c r="L24" i="10"/>
  <c r="L23" i="10" l="1"/>
  <c r="L22" i="10"/>
  <c r="L21" i="10"/>
  <c r="L20" i="10"/>
  <c r="L17" i="10"/>
  <c r="L16" i="10"/>
  <c r="L14" i="10"/>
  <c r="L15" i="10"/>
  <c r="L13" i="10"/>
  <c r="L12" i="10"/>
  <c r="L11" i="10"/>
  <c r="L10" i="10"/>
  <c r="L18" i="10"/>
  <c r="L19" i="10"/>
  <c r="E7" i="3"/>
  <c r="E9" i="3"/>
  <c r="Q7" i="3"/>
  <c r="R7" i="3" s="1"/>
  <c r="Q8" i="3"/>
  <c r="Q9" i="3"/>
  <c r="R9" i="3" s="1"/>
  <c r="Q10" i="3"/>
  <c r="R10" i="3" s="1"/>
  <c r="Q11" i="3"/>
  <c r="R11" i="3" s="1"/>
  <c r="Q12" i="3"/>
  <c r="R12" i="3" s="1"/>
  <c r="Q13" i="3"/>
  <c r="R13" i="3" s="1"/>
  <c r="Q14" i="3"/>
  <c r="R14" i="3" s="1"/>
  <c r="O7" i="3"/>
  <c r="O8" i="3"/>
  <c r="O9" i="3"/>
  <c r="O10" i="3"/>
  <c r="O11" i="3"/>
  <c r="O14" i="3"/>
  <c r="O15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L7" i="3"/>
  <c r="L8" i="3"/>
  <c r="L9" i="3"/>
  <c r="L10" i="3"/>
  <c r="L11" i="3"/>
  <c r="L12" i="3"/>
  <c r="L13" i="3"/>
  <c r="L14" i="3"/>
  <c r="L23" i="3"/>
  <c r="L24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H25" i="3"/>
  <c r="F8" i="23" l="1"/>
  <c r="K8" i="10"/>
  <c r="F7" i="23"/>
  <c r="K7" i="10"/>
  <c r="F6" i="23"/>
  <c r="K6" i="10"/>
  <c r="F5" i="23"/>
  <c r="K5" i="10"/>
  <c r="V4" i="18"/>
  <c r="X4" i="18" s="1"/>
  <c r="D4" i="18"/>
  <c r="F4" i="18" s="1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W15" i="12"/>
  <c r="Y15" i="12" s="1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36" i="12"/>
  <c r="Y36" i="12" s="1"/>
  <c r="W37" i="12"/>
  <c r="Y37" i="12" s="1"/>
  <c r="T7" i="12"/>
  <c r="V7" i="12" s="1"/>
  <c r="T8" i="12"/>
  <c r="V8" i="12" s="1"/>
  <c r="T9" i="12"/>
  <c r="V9" i="12" s="1"/>
  <c r="T10" i="12"/>
  <c r="V10" i="12" s="1"/>
  <c r="T11" i="12"/>
  <c r="V11" i="12" s="1"/>
  <c r="T12" i="12"/>
  <c r="V12" i="12" s="1"/>
  <c r="T13" i="12"/>
  <c r="V13" i="12" s="1"/>
  <c r="T14" i="12"/>
  <c r="V14" i="12" s="1"/>
  <c r="T16" i="12"/>
  <c r="T17" i="12"/>
  <c r="V17" i="12" s="1"/>
  <c r="T18" i="12"/>
  <c r="V18" i="12" s="1"/>
  <c r="T19" i="12"/>
  <c r="V19" i="12" s="1"/>
  <c r="T20" i="12"/>
  <c r="V20" i="12" s="1"/>
  <c r="T21" i="12"/>
  <c r="V21" i="12" s="1"/>
  <c r="T22" i="12"/>
  <c r="V22" i="12" s="1"/>
  <c r="T23" i="12"/>
  <c r="V23" i="12" s="1"/>
  <c r="T24" i="12"/>
  <c r="V24" i="12" s="1"/>
  <c r="T25" i="12"/>
  <c r="V25" i="12" s="1"/>
  <c r="T26" i="12"/>
  <c r="V26" i="12" s="1"/>
  <c r="T27" i="12"/>
  <c r="V27" i="12" s="1"/>
  <c r="T28" i="12"/>
  <c r="V28" i="12" s="1"/>
  <c r="T29" i="12"/>
  <c r="V29" i="12" s="1"/>
  <c r="T30" i="12"/>
  <c r="V30" i="12" s="1"/>
  <c r="T31" i="12"/>
  <c r="V31" i="12" s="1"/>
  <c r="T32" i="12"/>
  <c r="V32" i="12" s="1"/>
  <c r="T33" i="12"/>
  <c r="V33" i="12" s="1"/>
  <c r="T34" i="12"/>
  <c r="V34" i="12" s="1"/>
  <c r="T35" i="12"/>
  <c r="V35" i="12" s="1"/>
  <c r="T36" i="12"/>
  <c r="V36" i="12" s="1"/>
  <c r="T37" i="12"/>
  <c r="V37" i="12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S15" i="12"/>
  <c r="Q16" i="12"/>
  <c r="S16" i="12" s="1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S22" i="12" s="1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Q33" i="12"/>
  <c r="Q36" i="12"/>
  <c r="S36" i="12" s="1"/>
  <c r="Q37" i="12"/>
  <c r="N7" i="12"/>
  <c r="P7" i="12" s="1"/>
  <c r="N8" i="12"/>
  <c r="P8" i="12" s="1"/>
  <c r="N9" i="12"/>
  <c r="P9" i="12" s="1"/>
  <c r="Z9" i="12" s="1"/>
  <c r="N10" i="12"/>
  <c r="P10" i="12" s="1"/>
  <c r="N11" i="12"/>
  <c r="P11" i="12" s="1"/>
  <c r="N12" i="12"/>
  <c r="P12" i="12" s="1"/>
  <c r="N14" i="12"/>
  <c r="N16" i="12"/>
  <c r="N18" i="12"/>
  <c r="N19" i="12"/>
  <c r="N20" i="12"/>
  <c r="N21" i="12"/>
  <c r="N22" i="12"/>
  <c r="N23" i="12"/>
  <c r="N24" i="12"/>
  <c r="P24" i="12" s="1"/>
  <c r="N25" i="12"/>
  <c r="P25" i="12" s="1"/>
  <c r="N26" i="12"/>
  <c r="P26" i="12" s="1"/>
  <c r="N27" i="12"/>
  <c r="P27" i="12" s="1"/>
  <c r="N28" i="12"/>
  <c r="P28" i="12" s="1"/>
  <c r="N29" i="12"/>
  <c r="P29" i="12" s="1"/>
  <c r="N30" i="12"/>
  <c r="P30" i="12" s="1"/>
  <c r="N31" i="12"/>
  <c r="P31" i="12" s="1"/>
  <c r="N32" i="12"/>
  <c r="P32" i="12" s="1"/>
  <c r="N33" i="12"/>
  <c r="P33" i="12" s="1"/>
  <c r="N34" i="12"/>
  <c r="P34" i="12" s="1"/>
  <c r="N35" i="12"/>
  <c r="P35" i="12" s="1"/>
  <c r="N36" i="12"/>
  <c r="P36" i="12" s="1"/>
  <c r="N37" i="12"/>
  <c r="P37" i="12" s="1"/>
  <c r="K7" i="12"/>
  <c r="M7" i="12" s="1"/>
  <c r="K8" i="12"/>
  <c r="M8" i="12" s="1"/>
  <c r="K10" i="12"/>
  <c r="M10" i="12" s="1"/>
  <c r="K11" i="12"/>
  <c r="M11" i="12" s="1"/>
  <c r="K12" i="12"/>
  <c r="M12" i="12" s="1"/>
  <c r="K13" i="12"/>
  <c r="M13" i="12" s="1"/>
  <c r="K14" i="12"/>
  <c r="M14" i="12" s="1"/>
  <c r="K28" i="12"/>
  <c r="M28" i="12" s="1"/>
  <c r="K29" i="12"/>
  <c r="M29" i="12" s="1"/>
  <c r="K30" i="12"/>
  <c r="M30" i="12" s="1"/>
  <c r="K31" i="12"/>
  <c r="M31" i="12" s="1"/>
  <c r="K32" i="12"/>
  <c r="M32" i="12" s="1"/>
  <c r="K33" i="12"/>
  <c r="M33" i="12" s="1"/>
  <c r="K34" i="12"/>
  <c r="M34" i="12" s="1"/>
  <c r="K35" i="12"/>
  <c r="M35" i="12" s="1"/>
  <c r="K36" i="12"/>
  <c r="M36" i="12" s="1"/>
  <c r="K37" i="12"/>
  <c r="M37" i="12" s="1"/>
  <c r="W6" i="12"/>
  <c r="Y6" i="12" s="1"/>
  <c r="T6" i="12"/>
  <c r="V6" i="12" s="1"/>
  <c r="Q6" i="12"/>
  <c r="S6" i="12" s="1"/>
  <c r="N6" i="12"/>
  <c r="P6" i="12" s="1"/>
  <c r="M6" i="12"/>
  <c r="Z6" i="12" s="1"/>
  <c r="B5" i="11" s="1"/>
  <c r="Z13" i="12" l="1"/>
  <c r="B12" i="11" s="1"/>
  <c r="Z14" i="12"/>
  <c r="I5" i="23"/>
  <c r="Z26" i="12"/>
  <c r="B25" i="11" s="1"/>
  <c r="Z18" i="12"/>
  <c r="B17" i="11" s="1"/>
  <c r="Z17" i="12"/>
  <c r="B16" i="11" s="1"/>
  <c r="B8" i="11"/>
  <c r="Z7" i="12"/>
  <c r="B6" i="11" s="1"/>
  <c r="B13" i="11"/>
  <c r="Z10" i="12"/>
  <c r="B9" i="11" s="1"/>
  <c r="Z20" i="12"/>
  <c r="B19" i="11" s="1"/>
  <c r="Z11" i="12"/>
  <c r="Z25" i="12"/>
  <c r="B24" i="11" s="1"/>
  <c r="Z16" i="12"/>
  <c r="B15" i="11" s="1"/>
  <c r="Z19" i="12"/>
  <c r="B18" i="11" s="1"/>
  <c r="Z15" i="12"/>
  <c r="B14" i="11" s="1"/>
  <c r="Z12" i="12"/>
  <c r="B11" i="11" s="1"/>
  <c r="Z8" i="12"/>
  <c r="Z24" i="12"/>
  <c r="B23" i="11" s="1"/>
  <c r="Z23" i="12"/>
  <c r="B22" i="11" s="1"/>
  <c r="Z21" i="12"/>
  <c r="B20" i="11" s="1"/>
  <c r="Z22" i="12"/>
  <c r="B21" i="11" s="1"/>
  <c r="Z30" i="12"/>
  <c r="B29" i="11" s="1"/>
  <c r="Z37" i="12"/>
  <c r="B36" i="11" s="1"/>
  <c r="Z35" i="12"/>
  <c r="B34" i="11" s="1"/>
  <c r="Z27" i="12"/>
  <c r="B26" i="11" s="1"/>
  <c r="Z36" i="12"/>
  <c r="B35" i="11" s="1"/>
  <c r="Z29" i="12"/>
  <c r="B28" i="11" s="1"/>
  <c r="Z28" i="12"/>
  <c r="B27" i="11" s="1"/>
  <c r="Z32" i="12"/>
  <c r="B31" i="11" s="1"/>
  <c r="Z31" i="12"/>
  <c r="B30" i="11" s="1"/>
  <c r="Q6" i="3"/>
  <c r="R6" i="3" s="1"/>
  <c r="S6" i="3"/>
  <c r="S7" i="3"/>
  <c r="S8" i="3"/>
  <c r="S9" i="3"/>
  <c r="S10" i="3"/>
  <c r="S11" i="3"/>
  <c r="S12" i="3"/>
  <c r="S13" i="3"/>
  <c r="S14" i="3"/>
  <c r="S15" i="3"/>
  <c r="S16" i="3"/>
  <c r="S17" i="3"/>
  <c r="S19" i="3"/>
  <c r="Q6" i="13"/>
  <c r="R6" i="13" s="1"/>
  <c r="Y6" i="13"/>
  <c r="Z6" i="13" s="1"/>
  <c r="AA6" i="13" s="1"/>
  <c r="AC6" i="13"/>
  <c r="H5" i="23" s="1"/>
  <c r="R7" i="13"/>
  <c r="Z7" i="13"/>
  <c r="AA7" i="13" s="1"/>
  <c r="AC7" i="13"/>
  <c r="H6" i="23" s="1"/>
  <c r="R8" i="13"/>
  <c r="Z8" i="13"/>
  <c r="AA8" i="13" s="1"/>
  <c r="AC8" i="13"/>
  <c r="H7" i="23" s="1"/>
  <c r="Q9" i="13"/>
  <c r="R9" i="13" s="1"/>
  <c r="Z9" i="13"/>
  <c r="AA9" i="13" s="1"/>
  <c r="AC9" i="13"/>
  <c r="H8" i="23" s="1"/>
  <c r="R10" i="13"/>
  <c r="Z10" i="13"/>
  <c r="AA10" i="13" s="1"/>
  <c r="AC10" i="13"/>
  <c r="H9" i="23" s="1"/>
  <c r="R11" i="13"/>
  <c r="AC11" i="13"/>
  <c r="H10" i="23" s="1"/>
  <c r="Q12" i="13"/>
  <c r="R12" i="13" s="1"/>
  <c r="U12" i="13"/>
  <c r="V12" i="13" s="1"/>
  <c r="Z12" i="13"/>
  <c r="AA12" i="13" s="1"/>
  <c r="AC12" i="13"/>
  <c r="H11" i="23" s="1"/>
  <c r="Q13" i="13"/>
  <c r="R13" i="13" s="1"/>
  <c r="U13" i="13"/>
  <c r="V13" i="13" s="1"/>
  <c r="AC13" i="13"/>
  <c r="H12" i="23" s="1"/>
  <c r="Q14" i="13"/>
  <c r="R14" i="13" s="1"/>
  <c r="U14" i="13"/>
  <c r="V14" i="13" s="1"/>
  <c r="AC14" i="13"/>
  <c r="H13" i="23" s="1"/>
  <c r="R15" i="13"/>
  <c r="U15" i="13"/>
  <c r="V15" i="13" s="1"/>
  <c r="AC15" i="13"/>
  <c r="H14" i="23" s="1"/>
  <c r="R16" i="13"/>
  <c r="U16" i="13"/>
  <c r="V16" i="13" s="1"/>
  <c r="AC16" i="13"/>
  <c r="R17" i="13"/>
  <c r="U17" i="13"/>
  <c r="V17" i="13" s="1"/>
  <c r="AC17" i="13"/>
  <c r="H16" i="23" s="1"/>
  <c r="R18" i="13"/>
  <c r="U18" i="13"/>
  <c r="V18" i="13" s="1"/>
  <c r="Z18" i="13"/>
  <c r="AA18" i="13" s="1"/>
  <c r="AC18" i="13"/>
  <c r="H17" i="23" s="1"/>
  <c r="R19" i="13"/>
  <c r="U19" i="13"/>
  <c r="V19" i="13" s="1"/>
  <c r="Z19" i="13"/>
  <c r="AA19" i="13" s="1"/>
  <c r="Q20" i="13"/>
  <c r="R20" i="13" s="1"/>
  <c r="U20" i="13"/>
  <c r="V20" i="13" s="1"/>
  <c r="Z20" i="13"/>
  <c r="R21" i="13"/>
  <c r="V21" i="13"/>
  <c r="Z21" i="13"/>
  <c r="R22" i="13"/>
  <c r="V22" i="13"/>
  <c r="Y22" i="13"/>
  <c r="Z22" i="13" s="1"/>
  <c r="V23" i="13"/>
  <c r="Y23" i="13"/>
  <c r="Z23" i="13" s="1"/>
  <c r="AA23" i="13" s="1"/>
  <c r="R24" i="13"/>
  <c r="V24" i="13"/>
  <c r="Y24" i="13"/>
  <c r="AC24" i="13"/>
  <c r="R25" i="13"/>
  <c r="U25" i="13"/>
  <c r="V25" i="13" s="1"/>
  <c r="Z25" i="13"/>
  <c r="AC25" i="13"/>
  <c r="H22" i="23" s="1"/>
  <c r="R26" i="13"/>
  <c r="U26" i="13"/>
  <c r="V26" i="13" s="1"/>
  <c r="AC26" i="13"/>
  <c r="H23" i="23" s="1"/>
  <c r="Q27" i="13"/>
  <c r="R27" i="13" s="1"/>
  <c r="V27" i="13"/>
  <c r="AC27" i="13"/>
  <c r="H24" i="23" s="1"/>
  <c r="R28" i="13"/>
  <c r="U28" i="13"/>
  <c r="V28" i="13" s="1"/>
  <c r="AC28" i="13"/>
  <c r="H25" i="23" s="1"/>
  <c r="X19" i="3"/>
  <c r="AA21" i="3"/>
  <c r="AA22" i="3"/>
  <c r="AA23" i="3"/>
  <c r="AA24" i="3"/>
  <c r="AA25" i="3"/>
  <c r="AM18" i="3"/>
  <c r="AM19" i="3"/>
  <c r="AM20" i="3"/>
  <c r="AN20" i="3" s="1"/>
  <c r="G19" i="23" s="1"/>
  <c r="AM21" i="3"/>
  <c r="AM22" i="3"/>
  <c r="AM23" i="3"/>
  <c r="AM24" i="3"/>
  <c r="AM25" i="3"/>
  <c r="AM26" i="3"/>
  <c r="C7" i="11"/>
  <c r="C4" i="7" s="1"/>
  <c r="C8" i="7"/>
  <c r="C15" i="11"/>
  <c r="C12" i="7" s="1"/>
  <c r="C19" i="11"/>
  <c r="C16" i="7" s="1"/>
  <c r="C23" i="11"/>
  <c r="C20" i="7" s="1"/>
  <c r="C6" i="11"/>
  <c r="C3" i="7" s="1"/>
  <c r="C8" i="11"/>
  <c r="C5" i="7" s="1"/>
  <c r="C9" i="11"/>
  <c r="C6" i="7" s="1"/>
  <c r="C10" i="11"/>
  <c r="C7" i="7" s="1"/>
  <c r="C12" i="11"/>
  <c r="C9" i="7" s="1"/>
  <c r="C13" i="11"/>
  <c r="C10" i="7" s="1"/>
  <c r="C14" i="11"/>
  <c r="C11" i="7" s="1"/>
  <c r="C16" i="11"/>
  <c r="C13" i="7" s="1"/>
  <c r="C17" i="11"/>
  <c r="C14" i="7" s="1"/>
  <c r="C18" i="11"/>
  <c r="C15" i="7" s="1"/>
  <c r="C20" i="11"/>
  <c r="C17" i="7" s="1"/>
  <c r="C21" i="11"/>
  <c r="C18" i="7" s="1"/>
  <c r="C22" i="11"/>
  <c r="C19" i="7" s="1"/>
  <c r="C24" i="11"/>
  <c r="C21" i="7" s="1"/>
  <c r="C25" i="11"/>
  <c r="C22" i="7" s="1"/>
  <c r="C26" i="11"/>
  <c r="C23" i="7" s="1"/>
  <c r="C27" i="11"/>
  <c r="C24" i="7" s="1"/>
  <c r="C28" i="11"/>
  <c r="C25" i="7" s="1"/>
  <c r="C29" i="11"/>
  <c r="C26" i="7" s="1"/>
  <c r="C30" i="11"/>
  <c r="C27" i="7" s="1"/>
  <c r="C31" i="11"/>
  <c r="C28" i="7" s="1"/>
  <c r="C32" i="11"/>
  <c r="C29" i="7" s="1"/>
  <c r="C33" i="11"/>
  <c r="C30" i="7" s="1"/>
  <c r="C34" i="11"/>
  <c r="C31" i="7" s="1"/>
  <c r="C35" i="11"/>
  <c r="C32" i="7" s="1"/>
  <c r="C36" i="11"/>
  <c r="H15" i="23" l="1"/>
  <c r="G22" i="23"/>
  <c r="AN22" i="3"/>
  <c r="G21" i="23" s="1"/>
  <c r="AN21" i="3"/>
  <c r="G20" i="23" s="1"/>
  <c r="AN19" i="3"/>
  <c r="Z16" i="13"/>
  <c r="AA16" i="13" s="1"/>
  <c r="Z15" i="13"/>
  <c r="AA15" i="13" s="1"/>
  <c r="Z14" i="13"/>
  <c r="AA14" i="13" s="1"/>
  <c r="Z13" i="13"/>
  <c r="AA13" i="13" s="1"/>
  <c r="Z11" i="13"/>
  <c r="AA11" i="13" s="1"/>
  <c r="G23" i="23"/>
  <c r="AM36" i="3"/>
  <c r="AM35" i="3"/>
  <c r="AM34" i="3"/>
  <c r="AM33" i="3"/>
  <c r="AM31" i="3"/>
  <c r="AM30" i="3"/>
  <c r="AM29" i="3"/>
  <c r="AM28" i="3"/>
  <c r="AM27" i="3"/>
  <c r="AM17" i="3"/>
  <c r="AM16" i="3"/>
  <c r="AM15" i="3"/>
  <c r="AM14" i="3"/>
  <c r="AN14" i="3" s="1"/>
  <c r="AM13" i="3"/>
  <c r="AM12" i="3"/>
  <c r="AM11" i="3"/>
  <c r="AM10" i="3"/>
  <c r="AM9" i="3"/>
  <c r="AM8" i="3"/>
  <c r="AN8" i="3" s="1"/>
  <c r="AM7" i="3"/>
  <c r="AM6" i="3"/>
  <c r="AM38" i="3" s="1"/>
  <c r="AG9" i="3"/>
  <c r="AG8" i="3"/>
  <c r="AG7" i="3"/>
  <c r="AG6" i="3"/>
  <c r="AA37" i="3"/>
  <c r="AN37" i="3" s="1"/>
  <c r="AA36" i="3"/>
  <c r="AN36" i="3" s="1"/>
  <c r="AA35" i="3"/>
  <c r="AA34" i="3"/>
  <c r="AA33" i="3"/>
  <c r="AA32" i="3"/>
  <c r="AA31" i="3"/>
  <c r="AA30" i="3"/>
  <c r="AA29" i="3"/>
  <c r="AA28" i="3"/>
  <c r="AA27" i="3"/>
  <c r="AA26" i="3"/>
  <c r="AA16" i="3"/>
  <c r="AA15" i="3"/>
  <c r="AA13" i="3"/>
  <c r="AN13" i="3" s="1"/>
  <c r="AA12" i="3"/>
  <c r="AA11" i="3"/>
  <c r="AA10" i="3"/>
  <c r="AA9" i="3"/>
  <c r="AA7" i="3"/>
  <c r="AA6" i="3"/>
  <c r="X35" i="3"/>
  <c r="X34" i="3"/>
  <c r="X33" i="3"/>
  <c r="X32" i="3"/>
  <c r="X31" i="3"/>
  <c r="X30" i="3"/>
  <c r="X29" i="3"/>
  <c r="X28" i="3"/>
  <c r="X27" i="3"/>
  <c r="X26" i="3"/>
  <c r="X18" i="3"/>
  <c r="AN18" i="3" s="1"/>
  <c r="X17" i="3"/>
  <c r="AN17" i="3" s="1"/>
  <c r="X16" i="3"/>
  <c r="X11" i="3"/>
  <c r="X10" i="3"/>
  <c r="X8" i="3"/>
  <c r="X7" i="3"/>
  <c r="Q37" i="3"/>
  <c r="Q36" i="3"/>
  <c r="Q35" i="3"/>
  <c r="Q34" i="3"/>
  <c r="Q33" i="3"/>
  <c r="Q31" i="3"/>
  <c r="Q30" i="3"/>
  <c r="Q29" i="3"/>
  <c r="Q2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K37" i="3"/>
  <c r="K36" i="3"/>
  <c r="R36" i="3" s="1"/>
  <c r="K35" i="3"/>
  <c r="K34" i="3"/>
  <c r="K33" i="3"/>
  <c r="K32" i="3"/>
  <c r="K31" i="3"/>
  <c r="K30" i="3"/>
  <c r="K29" i="3"/>
  <c r="K28" i="3"/>
  <c r="H28" i="3"/>
  <c r="H29" i="3"/>
  <c r="H30" i="3"/>
  <c r="H31" i="3"/>
  <c r="H32" i="3"/>
  <c r="R32" i="3" s="1"/>
  <c r="H33" i="3"/>
  <c r="R33" i="3" s="1"/>
  <c r="H34" i="3"/>
  <c r="H35" i="3"/>
  <c r="H36" i="3"/>
  <c r="H37" i="3"/>
  <c r="E18" i="3"/>
  <c r="E19" i="3"/>
  <c r="F19" i="23"/>
  <c r="E22" i="3"/>
  <c r="E23" i="3"/>
  <c r="E24" i="3"/>
  <c r="E28" i="3"/>
  <c r="E29" i="3"/>
  <c r="E30" i="3"/>
  <c r="E32" i="3"/>
  <c r="E34" i="3"/>
  <c r="E36" i="3"/>
  <c r="E37" i="3"/>
  <c r="E10" i="3"/>
  <c r="E11" i="3"/>
  <c r="E12" i="3"/>
  <c r="F13" i="23"/>
  <c r="F14" i="23"/>
  <c r="E17" i="3"/>
  <c r="R37" i="3" l="1"/>
  <c r="R35" i="3"/>
  <c r="K35" i="11"/>
  <c r="R34" i="3"/>
  <c r="R31" i="3"/>
  <c r="F16" i="23"/>
  <c r="F18" i="23"/>
  <c r="F17" i="23"/>
  <c r="R30" i="3"/>
  <c r="F22" i="23"/>
  <c r="F21" i="23"/>
  <c r="G26" i="23"/>
  <c r="R29" i="3"/>
  <c r="R28" i="3"/>
  <c r="AN16" i="3"/>
  <c r="AN9" i="3"/>
  <c r="AG38" i="3"/>
  <c r="AN7" i="3"/>
  <c r="AN10" i="3"/>
  <c r="AN11" i="3"/>
  <c r="X38" i="3"/>
  <c r="AA38" i="3"/>
  <c r="K11" i="11"/>
  <c r="U38" i="3"/>
  <c r="AN15" i="3"/>
  <c r="F34" i="23"/>
  <c r="K36" i="10"/>
  <c r="F33" i="23"/>
  <c r="K35" i="10"/>
  <c r="F32" i="23"/>
  <c r="K34" i="10"/>
  <c r="F31" i="23"/>
  <c r="K33" i="10"/>
  <c r="F30" i="23"/>
  <c r="K32" i="10"/>
  <c r="F29" i="23"/>
  <c r="K31" i="10"/>
  <c r="F28" i="23"/>
  <c r="K30" i="10"/>
  <c r="F27" i="23"/>
  <c r="K29" i="10"/>
  <c r="F26" i="23"/>
  <c r="K28" i="10"/>
  <c r="F25" i="23"/>
  <c r="K27" i="10"/>
  <c r="F24" i="23"/>
  <c r="K26" i="10"/>
  <c r="F23" i="23"/>
  <c r="K25" i="10"/>
  <c r="K24" i="10"/>
  <c r="K23" i="10"/>
  <c r="K22" i="10"/>
  <c r="K21" i="10"/>
  <c r="K20" i="10"/>
  <c r="K19" i="10"/>
  <c r="K18" i="10"/>
  <c r="K17" i="10"/>
  <c r="K16" i="10"/>
  <c r="F12" i="23"/>
  <c r="K12" i="10"/>
  <c r="F11" i="23"/>
  <c r="K11" i="10"/>
  <c r="F10" i="23"/>
  <c r="K10" i="10"/>
  <c r="F9" i="23"/>
  <c r="K9" i="10"/>
  <c r="G28" i="23"/>
  <c r="G27" i="23"/>
  <c r="G34" i="24"/>
  <c r="AN38" i="3" l="1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6" i="13"/>
  <c r="AG7" i="13"/>
  <c r="AG8" i="13"/>
  <c r="AG9" i="13"/>
  <c r="AG10" i="13"/>
  <c r="AG11" i="13"/>
  <c r="AG12" i="13"/>
  <c r="AG13" i="13"/>
  <c r="AG14" i="13"/>
  <c r="AG15" i="13"/>
  <c r="AG16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6" i="13"/>
  <c r="J9" i="13"/>
  <c r="L9" i="13" s="1"/>
  <c r="J10" i="13"/>
  <c r="L10" i="13" s="1"/>
  <c r="J11" i="13"/>
  <c r="L11" i="13" s="1"/>
  <c r="J12" i="13"/>
  <c r="L12" i="13" s="1"/>
  <c r="J13" i="13"/>
  <c r="L13" i="13" s="1"/>
  <c r="J14" i="13"/>
  <c r="J15" i="13"/>
  <c r="J16" i="13"/>
  <c r="J17" i="13"/>
  <c r="J18" i="13"/>
  <c r="J19" i="13"/>
  <c r="J20" i="13"/>
  <c r="J21" i="13"/>
  <c r="J22" i="13"/>
  <c r="J23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F21" i="13" s="1"/>
  <c r="D22" i="13"/>
  <c r="F22" i="13" s="1"/>
  <c r="D23" i="13"/>
  <c r="F23" i="13" s="1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6" i="13"/>
  <c r="A1" i="13" s="1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4" i="18"/>
  <c r="B5" i="18"/>
  <c r="H5" i="18" s="1"/>
  <c r="M5" i="18" s="1"/>
  <c r="B6" i="18"/>
  <c r="H6" i="18" s="1"/>
  <c r="M6" i="18" s="1"/>
  <c r="B7" i="18"/>
  <c r="H7" i="18" s="1"/>
  <c r="M7" i="18" s="1"/>
  <c r="B8" i="18"/>
  <c r="H8" i="18" s="1"/>
  <c r="M8" i="18" s="1"/>
  <c r="B9" i="18"/>
  <c r="H9" i="18" s="1"/>
  <c r="M9" i="18" s="1"/>
  <c r="B10" i="18"/>
  <c r="H10" i="18" s="1"/>
  <c r="M10" i="18" s="1"/>
  <c r="B11" i="18"/>
  <c r="H11" i="18" s="1"/>
  <c r="M11" i="18" s="1"/>
  <c r="B12" i="18"/>
  <c r="B13" i="18"/>
  <c r="H13" i="18" s="1"/>
  <c r="M13" i="18" s="1"/>
  <c r="B14" i="18"/>
  <c r="H14" i="18" s="1"/>
  <c r="M14" i="18" s="1"/>
  <c r="B15" i="18"/>
  <c r="H15" i="18" s="1"/>
  <c r="M15" i="18" s="1"/>
  <c r="B16" i="18"/>
  <c r="H16" i="18" s="1"/>
  <c r="M16" i="18" s="1"/>
  <c r="B17" i="18"/>
  <c r="H17" i="18" s="1"/>
  <c r="M17" i="18" s="1"/>
  <c r="B18" i="18"/>
  <c r="H18" i="18" s="1"/>
  <c r="M18" i="18" s="1"/>
  <c r="B19" i="18"/>
  <c r="H19" i="18" s="1"/>
  <c r="M19" i="18" s="1"/>
  <c r="B20" i="18"/>
  <c r="H20" i="18" s="1"/>
  <c r="M20" i="18" s="1"/>
  <c r="B21" i="18"/>
  <c r="H21" i="18" s="1"/>
  <c r="M21" i="18" s="1"/>
  <c r="B22" i="18"/>
  <c r="H22" i="18" s="1"/>
  <c r="M22" i="18" s="1"/>
  <c r="B23" i="18"/>
  <c r="H23" i="18" s="1"/>
  <c r="M23" i="18" s="1"/>
  <c r="B24" i="18"/>
  <c r="H24" i="18" s="1"/>
  <c r="M24" i="18" s="1"/>
  <c r="T24" i="18" s="1"/>
  <c r="B25" i="18"/>
  <c r="H25" i="18" s="1"/>
  <c r="M25" i="18" s="1"/>
  <c r="B26" i="18"/>
  <c r="H26" i="18" s="1"/>
  <c r="M26" i="18" s="1"/>
  <c r="B27" i="18"/>
  <c r="H27" i="18" s="1"/>
  <c r="M27" i="18" s="1"/>
  <c r="B28" i="18"/>
  <c r="H28" i="18" s="1"/>
  <c r="M28" i="18" s="1"/>
  <c r="B29" i="18"/>
  <c r="H29" i="18" s="1"/>
  <c r="M29" i="18" s="1"/>
  <c r="B30" i="18"/>
  <c r="H30" i="18" s="1"/>
  <c r="M30" i="18" s="1"/>
  <c r="B31" i="18"/>
  <c r="H31" i="18" s="1"/>
  <c r="M31" i="18" s="1"/>
  <c r="B32" i="18"/>
  <c r="H32" i="18" s="1"/>
  <c r="M32" i="18" s="1"/>
  <c r="B33" i="18"/>
  <c r="H33" i="18" s="1"/>
  <c r="M33" i="18" s="1"/>
  <c r="B4" i="18"/>
  <c r="H4" i="18" s="1"/>
  <c r="M4" i="18" s="1"/>
  <c r="T4" i="18" s="1"/>
  <c r="Y4" i="18" s="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5" i="11"/>
  <c r="A1" i="11" s="1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6" i="12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4" i="3"/>
  <c r="A35" i="3"/>
  <c r="O39" i="10"/>
  <c r="P39" i="10" s="1"/>
  <c r="M38" i="10"/>
  <c r="M39" i="10" s="1"/>
  <c r="C39" i="10"/>
  <c r="Q36" i="10"/>
  <c r="V36" i="10" s="1"/>
  <c r="O35" i="10"/>
  <c r="N35" i="10"/>
  <c r="M35" i="10"/>
  <c r="P35" i="10"/>
  <c r="O34" i="10"/>
  <c r="N34" i="10"/>
  <c r="M34" i="10"/>
  <c r="P34" i="10"/>
  <c r="O33" i="10"/>
  <c r="N33" i="10"/>
  <c r="M33" i="10"/>
  <c r="P33" i="10"/>
  <c r="O32" i="10"/>
  <c r="N32" i="10"/>
  <c r="M32" i="10"/>
  <c r="P32" i="10"/>
  <c r="O31" i="10"/>
  <c r="N31" i="10"/>
  <c r="M31" i="10"/>
  <c r="P31" i="10"/>
  <c r="O30" i="10"/>
  <c r="N30" i="10"/>
  <c r="M30" i="10"/>
  <c r="P30" i="10"/>
  <c r="O29" i="10"/>
  <c r="N29" i="10"/>
  <c r="M29" i="10"/>
  <c r="P29" i="10"/>
  <c r="O28" i="10"/>
  <c r="N28" i="10"/>
  <c r="M28" i="10"/>
  <c r="P28" i="10"/>
  <c r="O27" i="10"/>
  <c r="N27" i="10"/>
  <c r="M27" i="10"/>
  <c r="P27" i="10"/>
  <c r="O26" i="10"/>
  <c r="N26" i="10"/>
  <c r="M26" i="10"/>
  <c r="P26" i="10"/>
  <c r="O25" i="10"/>
  <c r="N25" i="10"/>
  <c r="M25" i="10"/>
  <c r="P25" i="10"/>
  <c r="O24" i="10"/>
  <c r="N24" i="10"/>
  <c r="M24" i="10"/>
  <c r="P24" i="10"/>
  <c r="O23" i="10"/>
  <c r="N23" i="10"/>
  <c r="M23" i="10"/>
  <c r="P23" i="10"/>
  <c r="O22" i="10"/>
  <c r="N22" i="10"/>
  <c r="M22" i="10"/>
  <c r="P22" i="10"/>
  <c r="O21" i="10"/>
  <c r="N21" i="10"/>
  <c r="M21" i="10"/>
  <c r="P21" i="10"/>
  <c r="O20" i="10"/>
  <c r="N20" i="10"/>
  <c r="M20" i="10"/>
  <c r="P20" i="10"/>
  <c r="O19" i="10"/>
  <c r="N19" i="10"/>
  <c r="M19" i="10"/>
  <c r="P19" i="10"/>
  <c r="O18" i="10"/>
  <c r="N18" i="10"/>
  <c r="M18" i="10"/>
  <c r="P18" i="10"/>
  <c r="O17" i="10"/>
  <c r="N17" i="10"/>
  <c r="M17" i="10"/>
  <c r="P17" i="10"/>
  <c r="O16" i="10"/>
  <c r="N16" i="10"/>
  <c r="M16" i="10"/>
  <c r="P16" i="10"/>
  <c r="O15" i="10"/>
  <c r="N15" i="10"/>
  <c r="M15" i="10"/>
  <c r="P15" i="10"/>
  <c r="O14" i="10"/>
  <c r="N14" i="10"/>
  <c r="M14" i="10"/>
  <c r="P14" i="10"/>
  <c r="I14" i="10"/>
  <c r="Q14" i="10" s="1"/>
  <c r="O13" i="10"/>
  <c r="N13" i="10"/>
  <c r="M13" i="10"/>
  <c r="P13" i="10"/>
  <c r="O12" i="10"/>
  <c r="N12" i="10"/>
  <c r="M12" i="10"/>
  <c r="P12" i="10"/>
  <c r="O11" i="10"/>
  <c r="N11" i="10"/>
  <c r="M11" i="10"/>
  <c r="P11" i="10"/>
  <c r="O10" i="10"/>
  <c r="N10" i="10"/>
  <c r="M10" i="10"/>
  <c r="P10" i="10"/>
  <c r="O9" i="10"/>
  <c r="N9" i="10"/>
  <c r="M9" i="10"/>
  <c r="P9" i="10"/>
  <c r="O8" i="10"/>
  <c r="N8" i="10"/>
  <c r="M8" i="10"/>
  <c r="P8" i="10"/>
  <c r="O7" i="10"/>
  <c r="N7" i="10"/>
  <c r="M7" i="10"/>
  <c r="P7" i="10"/>
  <c r="O6" i="10"/>
  <c r="N6" i="10"/>
  <c r="M6" i="10"/>
  <c r="P6" i="10"/>
  <c r="X5" i="10"/>
  <c r="X6" i="10" s="1"/>
  <c r="X7" i="10" s="1"/>
  <c r="O5" i="10"/>
  <c r="N5" i="10"/>
  <c r="M5" i="10"/>
  <c r="T5" i="10"/>
  <c r="P5" i="10"/>
  <c r="I5" i="10"/>
  <c r="Q5" i="10" s="1"/>
  <c r="G13" i="26"/>
  <c r="G12" i="26"/>
  <c r="G11" i="26"/>
  <c r="G10" i="26"/>
  <c r="G9" i="26"/>
  <c r="G8" i="26"/>
  <c r="G7" i="26"/>
  <c r="G6" i="26"/>
  <c r="G5" i="26"/>
  <c r="G4" i="26"/>
  <c r="G3" i="26"/>
  <c r="D36" i="11"/>
  <c r="M35" i="11"/>
  <c r="D35" i="11"/>
  <c r="M34" i="11"/>
  <c r="D34" i="11"/>
  <c r="M33" i="11"/>
  <c r="D33" i="11"/>
  <c r="M32" i="11"/>
  <c r="D32" i="11"/>
  <c r="M31" i="11"/>
  <c r="D31" i="11"/>
  <c r="M30" i="11"/>
  <c r="D30" i="11"/>
  <c r="M29" i="11"/>
  <c r="D29" i="11"/>
  <c r="M28" i="11"/>
  <c r="D28" i="11"/>
  <c r="M27" i="11"/>
  <c r="D27" i="11"/>
  <c r="M26" i="11"/>
  <c r="D26" i="11"/>
  <c r="M25" i="11"/>
  <c r="D25" i="11"/>
  <c r="M24" i="11"/>
  <c r="M23" i="11"/>
  <c r="M22" i="11"/>
  <c r="D22" i="11"/>
  <c r="M21" i="11"/>
  <c r="D21" i="11"/>
  <c r="M20" i="11"/>
  <c r="D20" i="11"/>
  <c r="M19" i="11"/>
  <c r="D19" i="11"/>
  <c r="M18" i="11"/>
  <c r="D18" i="11"/>
  <c r="M17" i="11"/>
  <c r="D17" i="11"/>
  <c r="M16" i="11"/>
  <c r="D16" i="11"/>
  <c r="M15" i="11"/>
  <c r="D15" i="11"/>
  <c r="M14" i="11"/>
  <c r="D14" i="11"/>
  <c r="M13" i="11"/>
  <c r="D13" i="11"/>
  <c r="M12" i="11"/>
  <c r="D12" i="11"/>
  <c r="M11" i="11"/>
  <c r="M10" i="11"/>
  <c r="D10" i="11"/>
  <c r="M9" i="11"/>
  <c r="D9" i="11"/>
  <c r="M8" i="11"/>
  <c r="D8" i="11"/>
  <c r="M7" i="11"/>
  <c r="D7" i="11"/>
  <c r="M6" i="11"/>
  <c r="D6" i="11"/>
  <c r="M5" i="11"/>
  <c r="V35" i="18"/>
  <c r="X35" i="18" s="1"/>
  <c r="J34" i="23" s="1"/>
  <c r="M35" i="18"/>
  <c r="T35" i="18" s="1"/>
  <c r="Y35" i="18" s="1"/>
  <c r="V34" i="18"/>
  <c r="X34" i="18" s="1"/>
  <c r="J33" i="23" s="1"/>
  <c r="I33" i="23"/>
  <c r="M34" i="18"/>
  <c r="V33" i="18"/>
  <c r="X33" i="18" s="1"/>
  <c r="J32" i="23" s="1"/>
  <c r="I32" i="23"/>
  <c r="V32" i="18"/>
  <c r="I31" i="23"/>
  <c r="V31" i="18"/>
  <c r="I30" i="23"/>
  <c r="V30" i="18"/>
  <c r="X30" i="18" s="1"/>
  <c r="J29" i="23" s="1"/>
  <c r="I29" i="23"/>
  <c r="V29" i="18"/>
  <c r="X29" i="18" s="1"/>
  <c r="J28" i="23" s="1"/>
  <c r="I28" i="23"/>
  <c r="V28" i="18"/>
  <c r="X28" i="18" s="1"/>
  <c r="J27" i="23" s="1"/>
  <c r="I27" i="23"/>
  <c r="V27" i="18"/>
  <c r="X27" i="18" s="1"/>
  <c r="J26" i="23" s="1"/>
  <c r="I26" i="23"/>
  <c r="V26" i="18"/>
  <c r="I25" i="23"/>
  <c r="V25" i="18"/>
  <c r="I24" i="23"/>
  <c r="Y24" i="18"/>
  <c r="V24" i="18"/>
  <c r="I23" i="23"/>
  <c r="V23" i="18"/>
  <c r="I22" i="23"/>
  <c r="V22" i="18"/>
  <c r="V21" i="18"/>
  <c r="V20" i="18"/>
  <c r="V19" i="18"/>
  <c r="I20" i="23"/>
  <c r="V18" i="18"/>
  <c r="I19" i="23"/>
  <c r="V17" i="18"/>
  <c r="I18" i="23"/>
  <c r="V16" i="18"/>
  <c r="X16" i="18" s="1"/>
  <c r="J17" i="23" s="1"/>
  <c r="V15" i="18"/>
  <c r="V14" i="18"/>
  <c r="V13" i="18"/>
  <c r="V12" i="18"/>
  <c r="H12" i="18"/>
  <c r="M12" i="18" s="1"/>
  <c r="V11" i="18"/>
  <c r="V10" i="18"/>
  <c r="V9" i="18"/>
  <c r="I10" i="23"/>
  <c r="V8" i="18"/>
  <c r="V7" i="18"/>
  <c r="V6" i="18"/>
  <c r="V5" i="18"/>
  <c r="I6" i="23"/>
  <c r="X3" i="18"/>
  <c r="AE37" i="13"/>
  <c r="AC37" i="13"/>
  <c r="AE36" i="13"/>
  <c r="AC36" i="13"/>
  <c r="H33" i="23" s="1"/>
  <c r="Y36" i="13"/>
  <c r="Z36" i="13" s="1"/>
  <c r="AA36" i="13" s="1"/>
  <c r="U36" i="13"/>
  <c r="V36" i="13" s="1"/>
  <c r="Q36" i="13"/>
  <c r="R36" i="13" s="1"/>
  <c r="AE35" i="13"/>
  <c r="AC35" i="13"/>
  <c r="H32" i="23" s="1"/>
  <c r="Y35" i="13"/>
  <c r="Z35" i="13" s="1"/>
  <c r="AA35" i="13" s="1"/>
  <c r="U35" i="13"/>
  <c r="V35" i="13" s="1"/>
  <c r="Q35" i="13"/>
  <c r="R35" i="13" s="1"/>
  <c r="AE34" i="13"/>
  <c r="AC34" i="13"/>
  <c r="H31" i="23" s="1"/>
  <c r="U34" i="13"/>
  <c r="V34" i="13" s="1"/>
  <c r="Q34" i="13"/>
  <c r="R34" i="13" s="1"/>
  <c r="AE33" i="13"/>
  <c r="AC33" i="13"/>
  <c r="H30" i="23" s="1"/>
  <c r="U33" i="13"/>
  <c r="V33" i="13" s="1"/>
  <c r="Q33" i="13"/>
  <c r="R33" i="13" s="1"/>
  <c r="AE32" i="13"/>
  <c r="AC32" i="13"/>
  <c r="H29" i="23" s="1"/>
  <c r="U32" i="13"/>
  <c r="V32" i="13" s="1"/>
  <c r="Q32" i="13"/>
  <c r="R32" i="13" s="1"/>
  <c r="AE31" i="13"/>
  <c r="AC31" i="13"/>
  <c r="H28" i="23" s="1"/>
  <c r="Z31" i="13"/>
  <c r="AA31" i="13" s="1"/>
  <c r="U31" i="13"/>
  <c r="V31" i="13" s="1"/>
  <c r="Q31" i="13"/>
  <c r="R31" i="13" s="1"/>
  <c r="AE30" i="13"/>
  <c r="AC30" i="13"/>
  <c r="Z30" i="13"/>
  <c r="AA30" i="13" s="1"/>
  <c r="U30" i="13"/>
  <c r="V30" i="13" s="1"/>
  <c r="Q30" i="13"/>
  <c r="R30" i="13" s="1"/>
  <c r="AE29" i="13"/>
  <c r="AC29" i="13"/>
  <c r="H26" i="23" s="1"/>
  <c r="U29" i="13"/>
  <c r="V29" i="13" s="1"/>
  <c r="Q29" i="13"/>
  <c r="R29" i="13" s="1"/>
  <c r="AE28" i="13"/>
  <c r="AE27" i="13"/>
  <c r="AE26" i="13"/>
  <c r="AE25" i="13"/>
  <c r="AE24" i="13"/>
  <c r="AE23" i="13"/>
  <c r="AE22" i="13"/>
  <c r="AE21" i="13"/>
  <c r="AE19" i="13"/>
  <c r="AE17" i="13"/>
  <c r="AE16" i="13"/>
  <c r="AE7" i="13"/>
  <c r="AE6" i="13"/>
  <c r="F3" i="13"/>
  <c r="E6" i="13" s="1"/>
  <c r="J49" i="3"/>
  <c r="J48" i="3"/>
  <c r="J47" i="3"/>
  <c r="Q38" i="3"/>
  <c r="N38" i="3"/>
  <c r="AE37" i="3"/>
  <c r="O37" i="3"/>
  <c r="L37" i="3"/>
  <c r="I37" i="3"/>
  <c r="F37" i="3"/>
  <c r="C37" i="3"/>
  <c r="AE36" i="3"/>
  <c r="Y36" i="3"/>
  <c r="G33" i="23"/>
  <c r="N32" i="25"/>
  <c r="O36" i="3"/>
  <c r="L36" i="3"/>
  <c r="L32" i="25"/>
  <c r="I36" i="3"/>
  <c r="M32" i="25"/>
  <c r="F36" i="3"/>
  <c r="C36" i="3"/>
  <c r="Y35" i="3"/>
  <c r="G32" i="23"/>
  <c r="N31" i="25"/>
  <c r="O35" i="3"/>
  <c r="L35" i="3"/>
  <c r="L31" i="25"/>
  <c r="I35" i="3"/>
  <c r="M31" i="25"/>
  <c r="F35" i="3"/>
  <c r="C35" i="3"/>
  <c r="AE34" i="3"/>
  <c r="Y34" i="3"/>
  <c r="V34" i="3"/>
  <c r="G31" i="23"/>
  <c r="N30" i="25"/>
  <c r="O34" i="3"/>
  <c r="L34" i="3"/>
  <c r="L30" i="25"/>
  <c r="I34" i="3"/>
  <c r="M30" i="25"/>
  <c r="F34" i="3"/>
  <c r="C34" i="3"/>
  <c r="AE33" i="3"/>
  <c r="Y33" i="3"/>
  <c r="V33" i="3"/>
  <c r="G30" i="23"/>
  <c r="N29" i="25"/>
  <c r="L33" i="3"/>
  <c r="L29" i="25"/>
  <c r="I33" i="3"/>
  <c r="M29" i="25"/>
  <c r="F33" i="3"/>
  <c r="C33" i="3"/>
  <c r="AE32" i="3"/>
  <c r="Y32" i="3"/>
  <c r="V32" i="3"/>
  <c r="G29" i="23"/>
  <c r="N28" i="25"/>
  <c r="O32" i="3"/>
  <c r="L32" i="3"/>
  <c r="L28" i="25"/>
  <c r="M28" i="25"/>
  <c r="F32" i="3"/>
  <c r="AE31" i="3"/>
  <c r="Y31" i="3"/>
  <c r="V31" i="3"/>
  <c r="N27" i="25"/>
  <c r="O31" i="3"/>
  <c r="L31" i="3"/>
  <c r="L27" i="25"/>
  <c r="I31" i="3"/>
  <c r="M27" i="25"/>
  <c r="C31" i="3"/>
  <c r="AE30" i="3"/>
  <c r="Y30" i="3"/>
  <c r="V30" i="3"/>
  <c r="N26" i="25"/>
  <c r="O30" i="3"/>
  <c r="L30" i="3"/>
  <c r="L26" i="25"/>
  <c r="I30" i="3"/>
  <c r="M26" i="25"/>
  <c r="C30" i="3"/>
  <c r="AE29" i="3"/>
  <c r="Y29" i="3"/>
  <c r="V29" i="3"/>
  <c r="N25" i="25"/>
  <c r="O29" i="3"/>
  <c r="L25" i="25"/>
  <c r="I29" i="3"/>
  <c r="M25" i="25"/>
  <c r="C29" i="3"/>
  <c r="AE28" i="3"/>
  <c r="Y28" i="3"/>
  <c r="V28" i="3"/>
  <c r="G25" i="23"/>
  <c r="N24" i="25"/>
  <c r="O28" i="3"/>
  <c r="L28" i="3"/>
  <c r="L24" i="25"/>
  <c r="I28" i="3"/>
  <c r="M24" i="25"/>
  <c r="C28" i="3"/>
  <c r="AE27" i="3"/>
  <c r="Y27" i="3"/>
  <c r="V27" i="3"/>
  <c r="G24" i="23"/>
  <c r="N23" i="25"/>
  <c r="O27" i="3"/>
  <c r="L27" i="3"/>
  <c r="L23" i="25"/>
  <c r="I27" i="3"/>
  <c r="M23" i="25"/>
  <c r="C27" i="3"/>
  <c r="AE26" i="3"/>
  <c r="Y26" i="3"/>
  <c r="V26" i="3"/>
  <c r="N22" i="25"/>
  <c r="O26" i="3"/>
  <c r="L26" i="3"/>
  <c r="L22" i="25"/>
  <c r="I26" i="3"/>
  <c r="M22" i="25"/>
  <c r="F26" i="3"/>
  <c r="C26" i="3"/>
  <c r="AE25" i="3"/>
  <c r="Y25" i="3"/>
  <c r="V25" i="3"/>
  <c r="N21" i="25"/>
  <c r="L25" i="3"/>
  <c r="L21" i="25"/>
  <c r="I25" i="3"/>
  <c r="M21" i="25"/>
  <c r="F25" i="3"/>
  <c r="C25" i="3"/>
  <c r="AE24" i="3"/>
  <c r="Y24" i="3"/>
  <c r="N20" i="25"/>
  <c r="L20" i="25"/>
  <c r="M20" i="25"/>
  <c r="F24" i="3"/>
  <c r="C24" i="3"/>
  <c r="AE23" i="3"/>
  <c r="Y23" i="3"/>
  <c r="N19" i="25"/>
  <c r="L19" i="25"/>
  <c r="M19" i="25"/>
  <c r="C23" i="3"/>
  <c r="AE22" i="3"/>
  <c r="Y22" i="3"/>
  <c r="N18" i="25"/>
  <c r="L18" i="25"/>
  <c r="M18" i="25"/>
  <c r="C22" i="3"/>
  <c r="AK21" i="3"/>
  <c r="AE21" i="3"/>
  <c r="Y21" i="3"/>
  <c r="N17" i="25"/>
  <c r="L17" i="25"/>
  <c r="M17" i="25"/>
  <c r="C21" i="3"/>
  <c r="AK20" i="3"/>
  <c r="Y20" i="3"/>
  <c r="V20" i="3"/>
  <c r="N16" i="25"/>
  <c r="L16" i="25"/>
  <c r="M16" i="25"/>
  <c r="C20" i="3"/>
  <c r="AK19" i="3"/>
  <c r="Y19" i="3"/>
  <c r="V19" i="3"/>
  <c r="N15" i="25"/>
  <c r="L15" i="25"/>
  <c r="M15" i="25"/>
  <c r="C19" i="3"/>
  <c r="AK18" i="3"/>
  <c r="Y18" i="3"/>
  <c r="V18" i="3"/>
  <c r="N14" i="25"/>
  <c r="L14" i="25"/>
  <c r="M14" i="25"/>
  <c r="C18" i="3"/>
  <c r="AK17" i="3"/>
  <c r="Y17" i="3"/>
  <c r="V17" i="3"/>
  <c r="N13" i="25"/>
  <c r="L13" i="25"/>
  <c r="M13" i="25"/>
  <c r="K16" i="11"/>
  <c r="C17" i="3"/>
  <c r="AK16" i="3"/>
  <c r="Y16" i="3"/>
  <c r="V16" i="3"/>
  <c r="N12" i="25"/>
  <c r="L12" i="25"/>
  <c r="M12" i="25"/>
  <c r="N16" i="13"/>
  <c r="C16" i="3"/>
  <c r="AK15" i="3"/>
  <c r="Y15" i="3"/>
  <c r="V15" i="3"/>
  <c r="N11" i="25"/>
  <c r="L11" i="25"/>
  <c r="M11" i="25"/>
  <c r="P11" i="25"/>
  <c r="C15" i="3"/>
  <c r="AK14" i="3"/>
  <c r="Y14" i="3"/>
  <c r="N10" i="25"/>
  <c r="L10" i="25"/>
  <c r="M10" i="25"/>
  <c r="C14" i="3"/>
  <c r="AK13" i="3"/>
  <c r="Y13" i="3"/>
  <c r="N9" i="25"/>
  <c r="L9" i="25"/>
  <c r="M9" i="25"/>
  <c r="N13" i="13"/>
  <c r="C13" i="3"/>
  <c r="AK12" i="3"/>
  <c r="Y12" i="3"/>
  <c r="V12" i="3"/>
  <c r="N8" i="25"/>
  <c r="L8" i="25"/>
  <c r="M8" i="25"/>
  <c r="N12" i="13"/>
  <c r="C12" i="3"/>
  <c r="AK11" i="3"/>
  <c r="AE11" i="3"/>
  <c r="Y11" i="3"/>
  <c r="V11" i="3"/>
  <c r="N7" i="25"/>
  <c r="L7" i="25"/>
  <c r="M7" i="25"/>
  <c r="N11" i="13"/>
  <c r="C11" i="3"/>
  <c r="AK10" i="3"/>
  <c r="AE10" i="3"/>
  <c r="Y10" i="3"/>
  <c r="V10" i="3"/>
  <c r="N6" i="25"/>
  <c r="L6" i="25"/>
  <c r="M6" i="25"/>
  <c r="N10" i="13"/>
  <c r="C10" i="3"/>
  <c r="AK9" i="3"/>
  <c r="AE9" i="3"/>
  <c r="Y9" i="3"/>
  <c r="V9" i="3"/>
  <c r="N5" i="25"/>
  <c r="L5" i="25"/>
  <c r="M5" i="25"/>
  <c r="K8" i="11"/>
  <c r="C9" i="3"/>
  <c r="AK8" i="3"/>
  <c r="AE8" i="3"/>
  <c r="Y8" i="3"/>
  <c r="V8" i="3"/>
  <c r="N4" i="25"/>
  <c r="L4" i="25"/>
  <c r="M4" i="25"/>
  <c r="N8" i="13"/>
  <c r="C8" i="3"/>
  <c r="AK7" i="3"/>
  <c r="AE7" i="3"/>
  <c r="Y7" i="3"/>
  <c r="V7" i="3"/>
  <c r="N3" i="25"/>
  <c r="L3" i="25"/>
  <c r="M3" i="25"/>
  <c r="P3" i="25"/>
  <c r="C7" i="3"/>
  <c r="AK6" i="3"/>
  <c r="AE6" i="3"/>
  <c r="Y6" i="3"/>
  <c r="N2" i="25"/>
  <c r="L2" i="25"/>
  <c r="M2" i="25"/>
  <c r="P2" i="25"/>
  <c r="C6" i="3"/>
  <c r="AK5" i="3"/>
  <c r="C5" i="3"/>
  <c r="F25" i="13" l="1"/>
  <c r="G25" i="13"/>
  <c r="F24" i="13"/>
  <c r="G24" i="13"/>
  <c r="H27" i="23"/>
  <c r="I21" i="23"/>
  <c r="I17" i="23"/>
  <c r="I15" i="23"/>
  <c r="I16" i="23"/>
  <c r="T31" i="18"/>
  <c r="Y31" i="18" s="1"/>
  <c r="T27" i="18"/>
  <c r="Y27" i="18" s="1"/>
  <c r="T23" i="18"/>
  <c r="Y23" i="18" s="1"/>
  <c r="T19" i="18"/>
  <c r="Y19" i="18" s="1"/>
  <c r="T15" i="18"/>
  <c r="Y15" i="18" s="1"/>
  <c r="T11" i="18"/>
  <c r="Y11" i="18" s="1"/>
  <c r="T7" i="18"/>
  <c r="Y7" i="18" s="1"/>
  <c r="T12" i="18"/>
  <c r="Y12" i="18" s="1"/>
  <c r="T32" i="18"/>
  <c r="Y32" i="18" s="1"/>
  <c r="T28" i="18"/>
  <c r="Y28" i="18" s="1"/>
  <c r="T20" i="18"/>
  <c r="Y20" i="18" s="1"/>
  <c r="T16" i="18"/>
  <c r="Y16" i="18" s="1"/>
  <c r="T8" i="18"/>
  <c r="Y8" i="18" s="1"/>
  <c r="T33" i="18"/>
  <c r="Y33" i="18" s="1"/>
  <c r="T29" i="18"/>
  <c r="Y29" i="18" s="1"/>
  <c r="T25" i="18"/>
  <c r="Y25" i="18" s="1"/>
  <c r="T21" i="18"/>
  <c r="Y21" i="18" s="1"/>
  <c r="T17" i="18"/>
  <c r="Y17" i="18" s="1"/>
  <c r="T13" i="18"/>
  <c r="Y13" i="18" s="1"/>
  <c r="T9" i="18"/>
  <c r="Y9" i="18" s="1"/>
  <c r="T5" i="18"/>
  <c r="Y5" i="18" s="1"/>
  <c r="T34" i="18"/>
  <c r="Y34" i="18" s="1"/>
  <c r="T30" i="18"/>
  <c r="Y30" i="18" s="1"/>
  <c r="T26" i="18"/>
  <c r="Y26" i="18" s="1"/>
  <c r="T22" i="18"/>
  <c r="Y22" i="18" s="1"/>
  <c r="T18" i="18"/>
  <c r="Y18" i="18" s="1"/>
  <c r="T14" i="18"/>
  <c r="Y14" i="18" s="1"/>
  <c r="T10" i="18"/>
  <c r="Y10" i="18" s="1"/>
  <c r="T6" i="18"/>
  <c r="Y6" i="18" s="1"/>
  <c r="H34" i="24"/>
  <c r="H34" i="23"/>
  <c r="A1" i="12"/>
  <c r="X32" i="18"/>
  <c r="J31" i="23" s="1"/>
  <c r="X31" i="18"/>
  <c r="J30" i="23" s="1"/>
  <c r="X5" i="18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2" i="23" s="1"/>
  <c r="X10" i="18"/>
  <c r="J11" i="23" s="1"/>
  <c r="X24" i="18"/>
  <c r="J23" i="23" s="1"/>
  <c r="X25" i="18"/>
  <c r="J24" i="23" s="1"/>
  <c r="X8" i="18"/>
  <c r="J9" i="23" s="1"/>
  <c r="X11" i="18"/>
  <c r="J12" i="23" s="1"/>
  <c r="X12" i="18"/>
  <c r="J13" i="23" s="1"/>
  <c r="X15" i="18"/>
  <c r="J16" i="23" s="1"/>
  <c r="X26" i="18"/>
  <c r="J25" i="23" s="1"/>
  <c r="AI19" i="13"/>
  <c r="X22" i="18"/>
  <c r="X21" i="18"/>
  <c r="X20" i="18"/>
  <c r="J21" i="23" s="1"/>
  <c r="X19" i="18"/>
  <c r="J20" i="23" s="1"/>
  <c r="X17" i="18"/>
  <c r="J18" i="23" s="1"/>
  <c r="AI13" i="13"/>
  <c r="AI9" i="13"/>
  <c r="L6" i="18"/>
  <c r="L11" i="18"/>
  <c r="L14" i="18"/>
  <c r="L32" i="18"/>
  <c r="L4" i="18"/>
  <c r="L5" i="18"/>
  <c r="L8" i="18"/>
  <c r="L10" i="18"/>
  <c r="L13" i="18"/>
  <c r="L20" i="18"/>
  <c r="L23" i="18"/>
  <c r="L25" i="18"/>
  <c r="L33" i="18"/>
  <c r="L29" i="18"/>
  <c r="L19" i="18"/>
  <c r="L22" i="18"/>
  <c r="L34" i="18"/>
  <c r="L30" i="18"/>
  <c r="L26" i="18"/>
  <c r="L17" i="18"/>
  <c r="L28" i="18"/>
  <c r="L7" i="18"/>
  <c r="L9" i="18"/>
  <c r="L15" i="18"/>
  <c r="L18" i="18"/>
  <c r="L21" i="18"/>
  <c r="L24" i="18"/>
  <c r="J35" i="18"/>
  <c r="L31" i="18"/>
  <c r="L27" i="18"/>
  <c r="U5" i="10"/>
  <c r="V5" i="10" s="1"/>
  <c r="W5" i="10" s="1"/>
  <c r="I23" i="10"/>
  <c r="Q23" i="10" s="1"/>
  <c r="W24" i="25"/>
  <c r="W25" i="25"/>
  <c r="W26" i="25"/>
  <c r="W27" i="25"/>
  <c r="W28" i="25"/>
  <c r="W29" i="25"/>
  <c r="W30" i="25"/>
  <c r="W31" i="25"/>
  <c r="W32" i="25"/>
  <c r="AI16" i="13"/>
  <c r="W23" i="25"/>
  <c r="W22" i="25"/>
  <c r="W21" i="25"/>
  <c r="W20" i="25"/>
  <c r="W19" i="25"/>
  <c r="W18" i="25"/>
  <c r="I19" i="10"/>
  <c r="Q19" i="10" s="1"/>
  <c r="I26" i="10"/>
  <c r="Q26" i="10" s="1"/>
  <c r="W17" i="25"/>
  <c r="I14" i="23"/>
  <c r="I13" i="23"/>
  <c r="I12" i="23"/>
  <c r="J30" i="13"/>
  <c r="I11" i="23"/>
  <c r="I9" i="23"/>
  <c r="I8" i="23"/>
  <c r="I7" i="23"/>
  <c r="K77" i="3"/>
  <c r="M37" i="13" s="1"/>
  <c r="K16" i="13"/>
  <c r="L16" i="13" s="1"/>
  <c r="K23" i="13"/>
  <c r="L23" i="13" s="1"/>
  <c r="J25" i="13"/>
  <c r="K27" i="13"/>
  <c r="K32" i="13"/>
  <c r="G21" i="26"/>
  <c r="T6" i="10"/>
  <c r="K19" i="13"/>
  <c r="L19" i="13" s="1"/>
  <c r="J24" i="13"/>
  <c r="K26" i="13"/>
  <c r="K18" i="13"/>
  <c r="L18" i="13" s="1"/>
  <c r="K22" i="13"/>
  <c r="L22" i="13" s="1"/>
  <c r="K25" i="13"/>
  <c r="J27" i="13"/>
  <c r="K30" i="13"/>
  <c r="J32" i="13"/>
  <c r="K34" i="13"/>
  <c r="K36" i="13"/>
  <c r="G20" i="26"/>
  <c r="G22" i="26"/>
  <c r="G24" i="26"/>
  <c r="G26" i="26"/>
  <c r="I10" i="10"/>
  <c r="Q10" i="10" s="1"/>
  <c r="I16" i="10"/>
  <c r="Q16" i="10" s="1"/>
  <c r="K20" i="13"/>
  <c r="L20" i="13" s="1"/>
  <c r="J34" i="13"/>
  <c r="K35" i="13"/>
  <c r="G23" i="26"/>
  <c r="G25" i="26"/>
  <c r="G27" i="26"/>
  <c r="J28" i="13"/>
  <c r="J29" i="13"/>
  <c r="K31" i="13"/>
  <c r="J33" i="13"/>
  <c r="K17" i="13"/>
  <c r="L17" i="13" s="1"/>
  <c r="K21" i="13"/>
  <c r="L21" i="13" s="1"/>
  <c r="K24" i="13"/>
  <c r="J26" i="13"/>
  <c r="K28" i="13"/>
  <c r="K29" i="13"/>
  <c r="J31" i="13"/>
  <c r="K33" i="13"/>
  <c r="P14" i="25"/>
  <c r="N18" i="13"/>
  <c r="K17" i="11"/>
  <c r="N19" i="13"/>
  <c r="K18" i="11"/>
  <c r="P15" i="25"/>
  <c r="N20" i="13"/>
  <c r="K19" i="11"/>
  <c r="P16" i="25"/>
  <c r="P17" i="25"/>
  <c r="N21" i="13"/>
  <c r="K20" i="11"/>
  <c r="P18" i="25"/>
  <c r="N22" i="13"/>
  <c r="K21" i="11"/>
  <c r="N23" i="13"/>
  <c r="K22" i="11"/>
  <c r="P19" i="25"/>
  <c r="N24" i="13"/>
  <c r="K23" i="11"/>
  <c r="P20" i="25"/>
  <c r="P21" i="25"/>
  <c r="N25" i="13"/>
  <c r="K24" i="11"/>
  <c r="P22" i="25"/>
  <c r="N26" i="13"/>
  <c r="K25" i="11"/>
  <c r="N27" i="13"/>
  <c r="K26" i="11"/>
  <c r="P23" i="25"/>
  <c r="N28" i="13"/>
  <c r="K27" i="11"/>
  <c r="P24" i="25"/>
  <c r="P25" i="25"/>
  <c r="N29" i="13"/>
  <c r="K28" i="11"/>
  <c r="P26" i="25"/>
  <c r="N30" i="13"/>
  <c r="K29" i="11"/>
  <c r="N31" i="13"/>
  <c r="K30" i="11"/>
  <c r="P27" i="25"/>
  <c r="N32" i="13"/>
  <c r="K31" i="11"/>
  <c r="P28" i="25"/>
  <c r="P29" i="25"/>
  <c r="N33" i="13"/>
  <c r="K32" i="11"/>
  <c r="P30" i="25"/>
  <c r="N34" i="13"/>
  <c r="K33" i="11"/>
  <c r="N35" i="13"/>
  <c r="K34" i="11"/>
  <c r="P31" i="25"/>
  <c r="N36" i="13"/>
  <c r="P32" i="25"/>
  <c r="N37" i="13"/>
  <c r="K36" i="11"/>
  <c r="M20" i="13"/>
  <c r="K61" i="3"/>
  <c r="M21" i="13" s="1"/>
  <c r="M25" i="13"/>
  <c r="K69" i="3"/>
  <c r="M29" i="13" s="1"/>
  <c r="K73" i="3"/>
  <c r="M33" i="13" s="1"/>
  <c r="G15" i="26"/>
  <c r="G17" i="26"/>
  <c r="G19" i="26"/>
  <c r="G28" i="26"/>
  <c r="G30" i="26"/>
  <c r="G32" i="26"/>
  <c r="I24" i="10"/>
  <c r="Q24" i="10" s="1"/>
  <c r="I35" i="10"/>
  <c r="Q35" i="10" s="1"/>
  <c r="G14" i="26"/>
  <c r="G16" i="26"/>
  <c r="G18" i="26"/>
  <c r="G29" i="26"/>
  <c r="I6" i="10"/>
  <c r="Q6" i="10" s="1"/>
  <c r="R6" i="10" s="1"/>
  <c r="U6" i="10"/>
  <c r="I12" i="10"/>
  <c r="Q12" i="10" s="1"/>
  <c r="I13" i="10"/>
  <c r="Q13" i="10" s="1"/>
  <c r="I17" i="10"/>
  <c r="Q17" i="10" s="1"/>
  <c r="I31" i="10"/>
  <c r="Q31" i="10" s="1"/>
  <c r="J36" i="13"/>
  <c r="AI30" i="13"/>
  <c r="AI26" i="13"/>
  <c r="J35" i="13"/>
  <c r="AI15" i="13"/>
  <c r="K56" i="3"/>
  <c r="M16" i="13" s="1"/>
  <c r="N17" i="13"/>
  <c r="P13" i="25"/>
  <c r="K15" i="11"/>
  <c r="P12" i="25"/>
  <c r="K15" i="13"/>
  <c r="L15" i="13" s="1"/>
  <c r="K14" i="11"/>
  <c r="N15" i="13"/>
  <c r="K14" i="13"/>
  <c r="L14" i="13" s="1"/>
  <c r="P10" i="25"/>
  <c r="N14" i="13"/>
  <c r="K52" i="3"/>
  <c r="M12" i="13" s="1"/>
  <c r="P9" i="25"/>
  <c r="P8" i="25"/>
  <c r="L11" i="11"/>
  <c r="I10" i="11"/>
  <c r="B10" i="11"/>
  <c r="L9" i="11"/>
  <c r="K48" i="3"/>
  <c r="M8" i="13" s="1"/>
  <c r="K9" i="11"/>
  <c r="P6" i="25"/>
  <c r="K10" i="11"/>
  <c r="P7" i="25"/>
  <c r="N9" i="13"/>
  <c r="P5" i="25"/>
  <c r="L8" i="11"/>
  <c r="J8" i="13"/>
  <c r="L8" i="13" s="1"/>
  <c r="L7" i="11"/>
  <c r="P4" i="25"/>
  <c r="K7" i="11"/>
  <c r="I6" i="11"/>
  <c r="J7" i="13"/>
  <c r="L7" i="13" s="1"/>
  <c r="I8" i="10"/>
  <c r="Q8" i="10" s="1"/>
  <c r="I9" i="10"/>
  <c r="Q9" i="10" s="1"/>
  <c r="I11" i="10"/>
  <c r="Q11" i="10" s="1"/>
  <c r="I27" i="10"/>
  <c r="Q27" i="10" s="1"/>
  <c r="I28" i="10"/>
  <c r="Q28" i="10" s="1"/>
  <c r="I7" i="10"/>
  <c r="Q7" i="10" s="1"/>
  <c r="Z7" i="10" s="1"/>
  <c r="I30" i="10"/>
  <c r="Q30" i="10" s="1"/>
  <c r="L6" i="11"/>
  <c r="N6" i="13"/>
  <c r="K6" i="11"/>
  <c r="N7" i="13"/>
  <c r="J6" i="13"/>
  <c r="L6" i="13" s="1"/>
  <c r="B7" i="1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R38" i="3" s="1"/>
  <c r="H38" i="3"/>
  <c r="E38" i="3"/>
  <c r="F35" i="23" s="1"/>
  <c r="AI18" i="13"/>
  <c r="AI22" i="13"/>
  <c r="AI23" i="13"/>
  <c r="P40" i="10"/>
  <c r="I22" i="10"/>
  <c r="Q22" i="10" s="1"/>
  <c r="I33" i="10"/>
  <c r="Q33" i="10" s="1"/>
  <c r="R33" i="18"/>
  <c r="AI14" i="13"/>
  <c r="AI20" i="13"/>
  <c r="AI28" i="13"/>
  <c r="AI32" i="13"/>
  <c r="AI33" i="13"/>
  <c r="AI36" i="13"/>
  <c r="AJ37" i="13" s="1"/>
  <c r="I29" i="10"/>
  <c r="Q29" i="10" s="1"/>
  <c r="I34" i="10"/>
  <c r="Q34" i="10" s="1"/>
  <c r="AI7" i="13"/>
  <c r="AI11" i="13"/>
  <c r="AI17" i="13"/>
  <c r="AI21" i="13"/>
  <c r="AI24" i="13"/>
  <c r="AI35" i="13"/>
  <c r="R29" i="18"/>
  <c r="I20" i="10"/>
  <c r="Q20" i="10" s="1"/>
  <c r="Q25" i="10"/>
  <c r="AI8" i="13"/>
  <c r="AI12" i="13"/>
  <c r="AI25" i="13"/>
  <c r="AI27" i="13"/>
  <c r="AI29" i="13"/>
  <c r="AI31" i="13"/>
  <c r="AI34" i="13"/>
  <c r="R31" i="18"/>
  <c r="I15" i="10"/>
  <c r="Q15" i="10" s="1"/>
  <c r="I18" i="10"/>
  <c r="Q18" i="10" s="1"/>
  <c r="I21" i="10"/>
  <c r="Q21" i="10" s="1"/>
  <c r="I32" i="10"/>
  <c r="Q32" i="10" s="1"/>
  <c r="AI10" i="13"/>
  <c r="K76" i="3"/>
  <c r="M36" i="13" s="1"/>
  <c r="K75" i="3"/>
  <c r="M35" i="13" s="1"/>
  <c r="K74" i="3"/>
  <c r="M34" i="13" s="1"/>
  <c r="R5" i="10"/>
  <c r="X8" i="10"/>
  <c r="T7" i="10"/>
  <c r="U7" i="10"/>
  <c r="R34" i="18"/>
  <c r="E7" i="13"/>
  <c r="AI6" i="13"/>
  <c r="AJ13" i="13" l="1"/>
  <c r="Z8" i="10"/>
  <c r="AJ19" i="13"/>
  <c r="AJ9" i="13"/>
  <c r="K37" i="10"/>
  <c r="X36" i="18"/>
  <c r="Z6" i="10"/>
  <c r="R7" i="10"/>
  <c r="AJ26" i="13"/>
  <c r="L35" i="18"/>
  <c r="L35" i="13"/>
  <c r="V6" i="10"/>
  <c r="W6" i="10" s="1"/>
  <c r="AJ16" i="13"/>
  <c r="AJ17" i="13"/>
  <c r="L34" i="13"/>
  <c r="AJ15" i="13"/>
  <c r="G7" i="13"/>
  <c r="L26" i="13"/>
  <c r="I7" i="11"/>
  <c r="L30" i="13"/>
  <c r="AJ11" i="13"/>
  <c r="I8" i="11"/>
  <c r="L31" i="13"/>
  <c r="L32" i="13"/>
  <c r="L24" i="13"/>
  <c r="L29" i="13"/>
  <c r="AJ30" i="13"/>
  <c r="L36" i="13"/>
  <c r="L27" i="13"/>
  <c r="AJ31" i="13"/>
  <c r="V7" i="10"/>
  <c r="W7" i="10" s="1"/>
  <c r="L33" i="13"/>
  <c r="G6" i="13"/>
  <c r="L25" i="13"/>
  <c r="AJ27" i="13"/>
  <c r="I9" i="11"/>
  <c r="L28" i="13"/>
  <c r="F6" i="13"/>
  <c r="J37" i="13"/>
  <c r="L37" i="13" s="1"/>
  <c r="AJ22" i="13"/>
  <c r="AJ36" i="13"/>
  <c r="AJ32" i="13"/>
  <c r="AJ18" i="13"/>
  <c r="AJ23" i="13"/>
  <c r="AJ21" i="13"/>
  <c r="AJ34" i="13"/>
  <c r="AJ28" i="13"/>
  <c r="AJ8" i="13"/>
  <c r="AJ25" i="13"/>
  <c r="AJ29" i="13"/>
  <c r="AJ14" i="13"/>
  <c r="R20" i="18"/>
  <c r="R21" i="18"/>
  <c r="AJ35" i="13"/>
  <c r="AJ10" i="13"/>
  <c r="AJ20" i="13"/>
  <c r="AJ24" i="13"/>
  <c r="AJ12" i="13"/>
  <c r="AJ33" i="13"/>
  <c r="R30" i="18"/>
  <c r="G31" i="26"/>
  <c r="T8" i="10"/>
  <c r="U8" i="10"/>
  <c r="X9" i="10"/>
  <c r="Z5" i="10"/>
  <c r="S39" i="10"/>
  <c r="R8" i="10"/>
  <c r="R35" i="18"/>
  <c r="AJ6" i="13"/>
  <c r="AJ7" i="13"/>
  <c r="F7" i="13"/>
  <c r="E8" i="13"/>
  <c r="U9" i="10" l="1"/>
  <c r="X10" i="10"/>
  <c r="T9" i="10"/>
  <c r="Z9" i="10"/>
  <c r="R9" i="10"/>
  <c r="V8" i="10"/>
  <c r="W8" i="10" s="1"/>
  <c r="F8" i="13"/>
  <c r="E9" i="13"/>
  <c r="G8" i="13"/>
  <c r="V9" i="10" l="1"/>
  <c r="W9" i="10" s="1"/>
  <c r="X11" i="10"/>
  <c r="Z10" i="10"/>
  <c r="U10" i="10"/>
  <c r="R10" i="10"/>
  <c r="T10" i="10"/>
  <c r="F9" i="13"/>
  <c r="E10" i="13"/>
  <c r="G9" i="13"/>
  <c r="X12" i="10" l="1"/>
  <c r="T11" i="10"/>
  <c r="R11" i="10"/>
  <c r="U11" i="10"/>
  <c r="Z11" i="10"/>
  <c r="V10" i="10"/>
  <c r="W10" i="10" s="1"/>
  <c r="F10" i="13"/>
  <c r="E11" i="13"/>
  <c r="G11" i="13" s="1"/>
  <c r="G10" i="13"/>
  <c r="V11" i="10" l="1"/>
  <c r="W11" i="10" s="1"/>
  <c r="T12" i="10"/>
  <c r="U12" i="10"/>
  <c r="X13" i="10"/>
  <c r="R12" i="10"/>
  <c r="Z12" i="10"/>
  <c r="F11" i="13"/>
  <c r="E12" i="13"/>
  <c r="U13" i="10" l="1"/>
  <c r="X14" i="10"/>
  <c r="T13" i="10"/>
  <c r="Z13" i="10"/>
  <c r="R13" i="10"/>
  <c r="V12" i="10"/>
  <c r="W12" i="10" s="1"/>
  <c r="F12" i="13"/>
  <c r="E13" i="13"/>
  <c r="G12" i="13"/>
  <c r="V13" i="10" l="1"/>
  <c r="W13" i="10" s="1"/>
  <c r="X15" i="10"/>
  <c r="U14" i="10"/>
  <c r="T14" i="10"/>
  <c r="Z14" i="10"/>
  <c r="R14" i="10"/>
  <c r="F13" i="13"/>
  <c r="E14" i="13"/>
  <c r="G13" i="13"/>
  <c r="X16" i="10" l="1"/>
  <c r="T15" i="10"/>
  <c r="R15" i="10"/>
  <c r="U15" i="10"/>
  <c r="Z15" i="10"/>
  <c r="V14" i="10"/>
  <c r="W14" i="10" s="1"/>
  <c r="F14" i="13"/>
  <c r="E15" i="13"/>
  <c r="G14" i="13"/>
  <c r="V15" i="10" l="1"/>
  <c r="W15" i="10" s="1"/>
  <c r="T16" i="10"/>
  <c r="U16" i="10"/>
  <c r="X17" i="10"/>
  <c r="Z16" i="10"/>
  <c r="R16" i="10"/>
  <c r="F15" i="13"/>
  <c r="E16" i="13"/>
  <c r="G15" i="13"/>
  <c r="U17" i="10" l="1"/>
  <c r="X18" i="10"/>
  <c r="R17" i="10"/>
  <c r="T17" i="10"/>
  <c r="Z17" i="10"/>
  <c r="V16" i="10"/>
  <c r="W16" i="10" s="1"/>
  <c r="F16" i="13"/>
  <c r="E17" i="13"/>
  <c r="G16" i="13"/>
  <c r="V17" i="10" l="1"/>
  <c r="W17" i="10" s="1"/>
  <c r="X19" i="10"/>
  <c r="T18" i="10"/>
  <c r="Z18" i="10"/>
  <c r="U18" i="10"/>
  <c r="R18" i="10"/>
  <c r="F17" i="13"/>
  <c r="E18" i="13"/>
  <c r="G17" i="13"/>
  <c r="V18" i="10" l="1"/>
  <c r="W18" i="10" s="1"/>
  <c r="T19" i="10"/>
  <c r="U19" i="10"/>
  <c r="X20" i="10"/>
  <c r="Z19" i="10"/>
  <c r="R19" i="10"/>
  <c r="E19" i="13"/>
  <c r="F18" i="13"/>
  <c r="G18" i="13"/>
  <c r="V19" i="10" l="1"/>
  <c r="W19" i="10" s="1"/>
  <c r="U20" i="10"/>
  <c r="X21" i="10"/>
  <c r="Z20" i="10"/>
  <c r="R20" i="10"/>
  <c r="T20" i="10"/>
  <c r="E20" i="13"/>
  <c r="F19" i="13"/>
  <c r="G19" i="13"/>
  <c r="V20" i="10" l="1"/>
  <c r="W20" i="10" s="1"/>
  <c r="X22" i="10"/>
  <c r="T21" i="10"/>
  <c r="R21" i="10"/>
  <c r="U21" i="10"/>
  <c r="Z21" i="10"/>
  <c r="F20" i="13"/>
  <c r="E21" i="13"/>
  <c r="G20" i="13"/>
  <c r="X23" i="10" l="1"/>
  <c r="T22" i="10"/>
  <c r="Z22" i="10"/>
  <c r="R22" i="10"/>
  <c r="U22" i="10"/>
  <c r="V21" i="10"/>
  <c r="W21" i="10" s="1"/>
  <c r="E22" i="13"/>
  <c r="G21" i="13"/>
  <c r="T23" i="10" l="1"/>
  <c r="U23" i="10"/>
  <c r="X24" i="10"/>
  <c r="R23" i="10"/>
  <c r="Z23" i="10"/>
  <c r="V22" i="10"/>
  <c r="W22" i="10" s="1"/>
  <c r="E23" i="13"/>
  <c r="G22" i="13"/>
  <c r="V23" i="10" l="1"/>
  <c r="W23" i="10" s="1"/>
  <c r="U24" i="10"/>
  <c r="X25" i="10"/>
  <c r="Z24" i="10"/>
  <c r="R24" i="10"/>
  <c r="T24" i="10"/>
  <c r="E24" i="13"/>
  <c r="G23" i="13"/>
  <c r="V24" i="10" l="1"/>
  <c r="W24" i="10" s="1"/>
  <c r="X26" i="10"/>
  <c r="U25" i="10"/>
  <c r="T25" i="10"/>
  <c r="Z25" i="10"/>
  <c r="R25" i="10"/>
  <c r="E25" i="13"/>
  <c r="X27" i="10" l="1"/>
  <c r="T26" i="10"/>
  <c r="S26" i="10"/>
  <c r="Z26" i="10" s="1"/>
  <c r="U26" i="10"/>
  <c r="R26" i="10"/>
  <c r="V25" i="10"/>
  <c r="W25" i="10" s="1"/>
  <c r="E26" i="13"/>
  <c r="V26" i="10" l="1"/>
  <c r="W26" i="10" s="1"/>
  <c r="T27" i="10"/>
  <c r="U27" i="10"/>
  <c r="X28" i="10"/>
  <c r="S27" i="10"/>
  <c r="Z27" i="10" s="1"/>
  <c r="R27" i="10"/>
  <c r="E27" i="13"/>
  <c r="F26" i="13"/>
  <c r="G26" i="13"/>
  <c r="U28" i="10" l="1"/>
  <c r="X29" i="10"/>
  <c r="R28" i="10"/>
  <c r="T28" i="10"/>
  <c r="S28" i="10"/>
  <c r="Z28" i="10" s="1"/>
  <c r="V27" i="10"/>
  <c r="W27" i="10" s="1"/>
  <c r="F27" i="13"/>
  <c r="E28" i="13"/>
  <c r="G27" i="13"/>
  <c r="V28" i="10" l="1"/>
  <c r="W28" i="10" s="1"/>
  <c r="X30" i="10"/>
  <c r="U29" i="10"/>
  <c r="S29" i="10"/>
  <c r="Z29" i="10" s="1"/>
  <c r="T29" i="10"/>
  <c r="R29" i="10"/>
  <c r="F28" i="13"/>
  <c r="E29" i="13"/>
  <c r="G28" i="13"/>
  <c r="X31" i="10" l="1"/>
  <c r="T30" i="10"/>
  <c r="R30" i="10"/>
  <c r="U30" i="10"/>
  <c r="S30" i="10"/>
  <c r="Z30" i="10" s="1"/>
  <c r="V29" i="10"/>
  <c r="W29" i="10" s="1"/>
  <c r="E30" i="13"/>
  <c r="F29" i="13"/>
  <c r="G29" i="13"/>
  <c r="V30" i="10" l="1"/>
  <c r="W30" i="10" s="1"/>
  <c r="T31" i="10"/>
  <c r="U31" i="10"/>
  <c r="X32" i="10"/>
  <c r="S31" i="10"/>
  <c r="Z31" i="10" s="1"/>
  <c r="R31" i="10"/>
  <c r="E31" i="13"/>
  <c r="F30" i="13"/>
  <c r="G30" i="13"/>
  <c r="U32" i="10" l="1"/>
  <c r="X33" i="10"/>
  <c r="R32" i="10"/>
  <c r="S32" i="10"/>
  <c r="Z32" i="10" s="1"/>
  <c r="T32" i="10"/>
  <c r="V31" i="10"/>
  <c r="W31" i="10" s="1"/>
  <c r="F31" i="13"/>
  <c r="E32" i="13"/>
  <c r="G31" i="13"/>
  <c r="V32" i="10" l="1"/>
  <c r="W32" i="10" s="1"/>
  <c r="T33" i="10"/>
  <c r="X34" i="10"/>
  <c r="S33" i="10"/>
  <c r="Z33" i="10" s="1"/>
  <c r="R33" i="10"/>
  <c r="U33" i="10"/>
  <c r="F32" i="13"/>
  <c r="E33" i="13"/>
  <c r="G32" i="13"/>
  <c r="U34" i="10" l="1"/>
  <c r="X35" i="10"/>
  <c r="R34" i="10"/>
  <c r="T34" i="10"/>
  <c r="S34" i="10"/>
  <c r="Z34" i="10" s="1"/>
  <c r="V33" i="10"/>
  <c r="W33" i="10" s="1"/>
  <c r="E34" i="13"/>
  <c r="F33" i="13"/>
  <c r="G33" i="13"/>
  <c r="V34" i="10" l="1"/>
  <c r="W34" i="10" s="1"/>
  <c r="T35" i="10"/>
  <c r="U35" i="10"/>
  <c r="R35" i="10"/>
  <c r="S35" i="10"/>
  <c r="Z35" i="10" s="1"/>
  <c r="E35" i="13"/>
  <c r="F34" i="13"/>
  <c r="G34" i="13"/>
  <c r="V35" i="10" l="1"/>
  <c r="W35" i="10" s="1"/>
  <c r="E36" i="13"/>
  <c r="F35" i="13"/>
  <c r="G35" i="13"/>
  <c r="F36" i="13" l="1"/>
  <c r="G36" i="13"/>
  <c r="V3" i="25" l="1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32" i="25"/>
  <c r="U3" i="25"/>
  <c r="U4" i="25"/>
  <c r="U5" i="25"/>
  <c r="U6" i="25"/>
  <c r="U7" i="25"/>
  <c r="U8" i="25"/>
  <c r="U9" i="25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U31" i="25"/>
  <c r="U32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V2" i="25"/>
  <c r="U2" i="25"/>
  <c r="T2" i="25"/>
  <c r="S2" i="25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2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2" i="25"/>
  <c r="G2" i="26"/>
  <c r="B3" i="25" l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E11" i="25"/>
  <c r="F30" i="25" l="1"/>
  <c r="F18" i="25"/>
  <c r="F14" i="25"/>
  <c r="F10" i="25"/>
  <c r="F5" i="25"/>
  <c r="F24" i="25"/>
  <c r="F15" i="25"/>
  <c r="F3" i="25"/>
  <c r="F6" i="25"/>
  <c r="F27" i="25"/>
  <c r="F16" i="25"/>
  <c r="F7" i="25"/>
  <c r="F26" i="25"/>
  <c r="F31" i="25"/>
  <c r="F19" i="25"/>
  <c r="F8" i="25"/>
  <c r="F28" i="25"/>
  <c r="F17" i="25"/>
  <c r="F13" i="25"/>
  <c r="F32" i="25"/>
  <c r="F23" i="25"/>
  <c r="F11" i="25"/>
  <c r="H9" i="24"/>
  <c r="K8" i="25" s="1"/>
  <c r="F4" i="25" l="1"/>
  <c r="F9" i="25"/>
  <c r="F25" i="25"/>
  <c r="F22" i="25"/>
  <c r="F20" i="25"/>
  <c r="F29" i="25"/>
  <c r="F12" i="25"/>
  <c r="F21" i="25"/>
  <c r="E2" i="25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 i="25"/>
  <c r="E22" i="25"/>
  <c r="E25" i="25"/>
  <c r="E28" i="25"/>
  <c r="E29" i="25"/>
  <c r="E32" i="25"/>
  <c r="E4" i="25"/>
  <c r="E6" i="25"/>
  <c r="E8" i="25"/>
  <c r="E12" i="25"/>
  <c r="E14" i="25"/>
  <c r="E32" i="26" l="1"/>
  <c r="G32" i="25"/>
  <c r="F2" i="25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 i="25"/>
  <c r="H26" i="24"/>
  <c r="K25" i="25" s="1"/>
  <c r="E7" i="25"/>
  <c r="E3" i="25"/>
  <c r="E24" i="25"/>
  <c r="E20" i="25"/>
  <c r="E16" i="25"/>
  <c r="H25" i="24"/>
  <c r="K24" i="25" s="1"/>
  <c r="E10" i="25"/>
  <c r="E27" i="25"/>
  <c r="E23" i="25"/>
  <c r="E19" i="25"/>
  <c r="E15" i="25"/>
  <c r="F2" i="26"/>
  <c r="E13" i="25"/>
  <c r="E9" i="25"/>
  <c r="E5" i="25"/>
  <c r="E26" i="25"/>
  <c r="E18" i="25"/>
  <c r="E31" i="25"/>
  <c r="O6" i="25" l="1"/>
  <c r="O8" i="25"/>
  <c r="O19" i="25"/>
  <c r="O23" i="25"/>
  <c r="O26" i="25"/>
  <c r="O10" i="25"/>
  <c r="O13" i="25"/>
  <c r="O4" i="25"/>
  <c r="O12" i="25"/>
  <c r="O25" i="25"/>
  <c r="O7" i="25"/>
  <c r="O16" i="25"/>
  <c r="O31" i="25"/>
  <c r="O24" i="25"/>
  <c r="O22" i="25"/>
  <c r="O18" i="25"/>
  <c r="O27" i="25"/>
  <c r="O20" i="25"/>
  <c r="O3" i="25"/>
  <c r="O14" i="25"/>
  <c r="O9" i="25"/>
  <c r="O11" i="25"/>
  <c r="O15" i="25"/>
  <c r="O17" i="25"/>
  <c r="O2" i="25"/>
  <c r="O29" i="25"/>
  <c r="O28" i="25"/>
  <c r="O21" i="25"/>
  <c r="O5" i="25"/>
  <c r="G29" i="25"/>
  <c r="E29" i="26"/>
  <c r="G27" i="25"/>
  <c r="E27" i="26"/>
  <c r="G7" i="25"/>
  <c r="E7" i="26"/>
  <c r="E4" i="26"/>
  <c r="G4" i="25"/>
  <c r="F4" i="26"/>
  <c r="E20" i="26"/>
  <c r="G20" i="25"/>
  <c r="F20" i="26"/>
  <c r="G25" i="25"/>
  <c r="E25" i="26"/>
  <c r="G22" i="25"/>
  <c r="E22" i="26"/>
  <c r="E8" i="26"/>
  <c r="G8" i="25"/>
  <c r="F8" i="26"/>
  <c r="G3" i="25"/>
  <c r="E3" i="26"/>
  <c r="F3" i="26"/>
  <c r="G21" i="25"/>
  <c r="E21" i="26"/>
  <c r="G15" i="25"/>
  <c r="E15" i="26"/>
  <c r="F15" i="26"/>
  <c r="G11" i="25"/>
  <c r="E11" i="26"/>
  <c r="F11" i="26"/>
  <c r="G17" i="25"/>
  <c r="E17" i="26"/>
  <c r="F17" i="26"/>
  <c r="G14" i="25"/>
  <c r="E14" i="26"/>
  <c r="F14" i="26"/>
  <c r="E24" i="26"/>
  <c r="G24" i="25"/>
  <c r="G30" i="25"/>
  <c r="E30" i="26"/>
  <c r="E28" i="26"/>
  <c r="G28" i="25"/>
  <c r="G31" i="25"/>
  <c r="E31" i="26"/>
  <c r="G18" i="25"/>
  <c r="E18" i="26"/>
  <c r="F18" i="26"/>
  <c r="G5" i="25"/>
  <c r="E5" i="26"/>
  <c r="F5" i="26"/>
  <c r="G26" i="25"/>
  <c r="E26" i="26"/>
  <c r="E16" i="26"/>
  <c r="G16" i="25"/>
  <c r="F16" i="26"/>
  <c r="E12" i="26"/>
  <c r="G12" i="25"/>
  <c r="F12" i="26"/>
  <c r="G23" i="25"/>
  <c r="E23" i="26"/>
  <c r="G9" i="25"/>
  <c r="E9" i="26"/>
  <c r="F9" i="26"/>
  <c r="G6" i="25"/>
  <c r="E6" i="26"/>
  <c r="F6" i="26"/>
  <c r="E2" i="26"/>
  <c r="L2" i="26" s="1"/>
  <c r="G2" i="25"/>
  <c r="G19" i="25"/>
  <c r="E19" i="26"/>
  <c r="F19" i="26"/>
  <c r="G13" i="25"/>
  <c r="E13" i="26"/>
  <c r="F13" i="26"/>
  <c r="G10" i="25"/>
  <c r="E10" i="26"/>
  <c r="F10" i="26"/>
  <c r="E30" i="25"/>
  <c r="L28" i="26" l="1"/>
  <c r="L20" i="26"/>
  <c r="L13" i="26"/>
  <c r="L27" i="26"/>
  <c r="L6" i="26"/>
  <c r="L14" i="26"/>
  <c r="L21" i="26"/>
  <c r="L25" i="26"/>
  <c r="L31" i="26"/>
  <c r="L19" i="26"/>
  <c r="L9" i="26"/>
  <c r="L26" i="26"/>
  <c r="L17" i="26"/>
  <c r="L3" i="26"/>
  <c r="L8" i="26"/>
  <c r="L4" i="26"/>
  <c r="L29" i="26"/>
  <c r="O30" i="25"/>
  <c r="L23" i="26"/>
  <c r="L5" i="26"/>
  <c r="L30" i="26"/>
  <c r="L11" i="26"/>
  <c r="L12" i="26"/>
  <c r="L24" i="26"/>
  <c r="L10" i="26"/>
  <c r="L16" i="26"/>
  <c r="L18" i="26"/>
  <c r="L15" i="26"/>
  <c r="L22" i="26"/>
  <c r="L7" i="26"/>
  <c r="Q5" i="25" l="1"/>
  <c r="Q8" i="25"/>
  <c r="Q7" i="25"/>
  <c r="Q15" i="25"/>
  <c r="Q12" i="25"/>
  <c r="Q16" i="25"/>
  <c r="Q13" i="25"/>
  <c r="Q14" i="25"/>
  <c r="Q9" i="25"/>
  <c r="Q10" i="25"/>
  <c r="Q11" i="25"/>
  <c r="Q3" i="25"/>
  <c r="Q6" i="25"/>
  <c r="Q4" i="25"/>
  <c r="Q2" i="25"/>
  <c r="G12" i="23"/>
  <c r="G13" i="23"/>
  <c r="W3" i="25"/>
  <c r="W5" i="25"/>
  <c r="G7" i="23"/>
  <c r="AN6" i="3"/>
  <c r="G5" i="23" s="1"/>
  <c r="W6" i="25"/>
  <c r="G15" i="23"/>
  <c r="AN12" i="3"/>
  <c r="G11" i="23" s="1"/>
  <c r="G17" i="23"/>
  <c r="G10" i="23"/>
  <c r="G14" i="23"/>
  <c r="G35" i="23"/>
  <c r="W16" i="25" l="1"/>
  <c r="W15" i="25"/>
  <c r="G18" i="23"/>
  <c r="W13" i="25"/>
  <c r="G16" i="23"/>
  <c r="W7" i="25"/>
  <c r="W11" i="25"/>
  <c r="W2" i="25"/>
  <c r="G8" i="23"/>
  <c r="W14" i="25"/>
  <c r="W12" i="25"/>
  <c r="W10" i="25"/>
  <c r="G34" i="23"/>
  <c r="W8" i="25"/>
  <c r="G9" i="23"/>
  <c r="W4" i="25"/>
  <c r="G6" i="23"/>
  <c r="W9" i="25"/>
  <c r="Q34" i="12" l="1"/>
  <c r="Z34" i="12"/>
  <c r="B33" i="11" s="1"/>
  <c r="Z33" i="12"/>
  <c r="B32" i="11" s="1"/>
  <c r="E5" i="23" l="1"/>
  <c r="J5" i="11"/>
  <c r="H6" i="13"/>
  <c r="H3" i="13"/>
  <c r="AU11" i="1"/>
  <c r="E6" i="23" l="1"/>
  <c r="AU12" i="1"/>
  <c r="J6" i="11"/>
  <c r="H7" i="13"/>
  <c r="AU13" i="1" l="1"/>
  <c r="AU14" i="1"/>
  <c r="H8" i="13"/>
  <c r="E7" i="23"/>
  <c r="J7" i="11"/>
  <c r="H9" i="13" l="1"/>
  <c r="E8" i="23"/>
  <c r="J8" i="11"/>
  <c r="H10" i="13" l="1"/>
  <c r="AU15" i="1"/>
  <c r="J9" i="11"/>
  <c r="E9" i="23"/>
  <c r="J10" i="11" l="1"/>
  <c r="AU16" i="1"/>
  <c r="H11" i="13"/>
  <c r="E10" i="23"/>
  <c r="J11" i="11" l="1"/>
  <c r="AU17" i="1"/>
  <c r="E11" i="23"/>
  <c r="H12" i="13"/>
  <c r="E12" i="23" l="1"/>
  <c r="J12" i="11"/>
  <c r="AU18" i="1"/>
  <c r="H13" i="13"/>
  <c r="J13" i="11" l="1"/>
  <c r="AU19" i="1"/>
  <c r="E13" i="23"/>
  <c r="H14" i="13"/>
  <c r="J14" i="11" l="1"/>
  <c r="AU20" i="1"/>
  <c r="E14" i="23"/>
  <c r="H15" i="13"/>
  <c r="E15" i="23" l="1"/>
  <c r="AU21" i="1"/>
  <c r="H16" i="13"/>
  <c r="J15" i="11"/>
  <c r="H17" i="13" l="1"/>
  <c r="AU22" i="1"/>
  <c r="J16" i="11"/>
  <c r="E16" i="23"/>
  <c r="H18" i="13" l="1"/>
  <c r="E17" i="23"/>
  <c r="AU23" i="1"/>
  <c r="J17" i="11"/>
  <c r="J18" i="11" l="1"/>
  <c r="AU24" i="1"/>
  <c r="H19" i="13"/>
  <c r="E18" i="23"/>
  <c r="E19" i="23" l="1"/>
  <c r="J19" i="11"/>
  <c r="AU25" i="1"/>
  <c r="H20" i="13"/>
  <c r="H21" i="13" l="1"/>
  <c r="J20" i="11"/>
  <c r="AU26" i="1"/>
  <c r="E20" i="23"/>
  <c r="H22" i="13" l="1"/>
  <c r="AU27" i="1"/>
  <c r="E21" i="23"/>
  <c r="J21" i="11"/>
  <c r="J22" i="11" l="1"/>
  <c r="AU28" i="1"/>
  <c r="H23" i="13"/>
  <c r="J23" i="11" l="1"/>
  <c r="H24" i="13"/>
  <c r="AU29" i="1"/>
  <c r="E22" i="23" l="1"/>
  <c r="AU30" i="1"/>
  <c r="J24" i="11"/>
  <c r="H25" i="13"/>
  <c r="J25" i="11" l="1"/>
  <c r="H26" i="13"/>
  <c r="E23" i="23"/>
  <c r="AU31" i="1"/>
  <c r="AU32" i="1" l="1"/>
  <c r="J26" i="11"/>
  <c r="H27" i="13"/>
  <c r="E24" i="23"/>
  <c r="E25" i="23" l="1"/>
  <c r="J27" i="11"/>
  <c r="H28" i="13"/>
  <c r="AU33" i="1"/>
  <c r="AU34" i="1" l="1"/>
  <c r="E26" i="23"/>
  <c r="J28" i="11"/>
  <c r="H29" i="13"/>
  <c r="AU35" i="1" l="1"/>
  <c r="H30" i="13"/>
  <c r="E27" i="23"/>
  <c r="J29" i="11"/>
  <c r="AU36" i="1" l="1"/>
  <c r="H31" i="13"/>
  <c r="J30" i="11"/>
  <c r="E28" i="23"/>
  <c r="AU37" i="1" l="1"/>
  <c r="H32" i="13"/>
  <c r="E29" i="23"/>
  <c r="J31" i="11"/>
  <c r="AU38" i="1" l="1"/>
  <c r="E30" i="23"/>
  <c r="H33" i="13"/>
  <c r="J32" i="11"/>
  <c r="AU39" i="1" l="1"/>
  <c r="H34" i="13"/>
  <c r="J33" i="11"/>
  <c r="E31" i="23"/>
  <c r="AU40" i="1" l="1"/>
  <c r="E32" i="23"/>
  <c r="J34" i="11"/>
  <c r="H35" i="13"/>
  <c r="AU41" i="1" l="1"/>
  <c r="H36" i="13"/>
  <c r="J35" i="11"/>
  <c r="E33" i="23"/>
  <c r="AU42" i="1" l="1"/>
  <c r="E34" i="23"/>
  <c r="J36" i="11"/>
  <c r="AU43" i="1" l="1"/>
  <c r="E35" i="23"/>
  <c r="F41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tc={602D2C5A-52D4-41DC-B2C1-FCA20345A04D}</author>
  </authors>
  <commentList>
    <comment ref="AJ20" authorId="0" shapeId="0" xr:uid="{602D2C5A-52D4-41DC-B2C1-FCA20345A04D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<sst xmlns="http://schemas.openxmlformats.org/spreadsheetml/2006/main" count="631" uniqueCount="361">
  <si>
    <t>Site Name</t>
  </si>
  <si>
    <t>Day</t>
  </si>
  <si>
    <t>Month</t>
  </si>
  <si>
    <t>Year</t>
  </si>
  <si>
    <t xml:space="preserve">Transport Consumption (LT) </t>
  </si>
  <si>
    <t xml:space="preserve">Generators Consumption (LT) </t>
  </si>
  <si>
    <t>Total Electricity Kwh</t>
  </si>
  <si>
    <t>Kitchen (KWh)</t>
  </si>
  <si>
    <t>Laundry (KWh)</t>
  </si>
  <si>
    <t>STP (M3)</t>
  </si>
  <si>
    <t>RO prodution  (M3)</t>
  </si>
  <si>
    <t>Amani Restaurant (M3)</t>
  </si>
  <si>
    <t>Kitchen (M3)</t>
  </si>
  <si>
    <t>Laundry (M3)</t>
  </si>
  <si>
    <t>Total water Consumption 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</si>
  <si>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</si>
  <si>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</si>
  <si>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</si>
  <si>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</si>
  <si>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</si>
  <si>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</si>
  <si>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 xml:space="preserve">Total Bore holes production  (M3) </t>
  </si>
  <si>
    <t xml:space="preserve">Room Nights </t>
  </si>
  <si>
    <t>Serengeti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</si>
  <si>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</si>
  <si>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</si>
  <si>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</si>
  <si>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</si>
  <si>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</si>
  <si>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Utilities day cost dh</t>
  </si>
  <si>
    <t xml:space="preserve"> </t>
  </si>
  <si>
    <t>Date</t>
  </si>
  <si>
    <t>Usage KW</t>
  </si>
  <si>
    <t>Occ %</t>
  </si>
  <si>
    <t>Total Occ</t>
  </si>
  <si>
    <t>Guest Occ</t>
  </si>
  <si>
    <t xml:space="preserve"> UTILITY REPORT </t>
  </si>
  <si>
    <t>%</t>
  </si>
  <si>
    <t xml:space="preserve"> Guest Rooms Occupied </t>
  </si>
  <si>
    <t>Diesel cost  Per  Liter        ($)</t>
  </si>
  <si>
    <t>Diesel consumption (LT)</t>
  </si>
  <si>
    <t>Power production (KW)</t>
  </si>
  <si>
    <t>Water consumption (M3)</t>
  </si>
  <si>
    <t xml:space="preserve">Transport Consupmtion (LT) </t>
  </si>
  <si>
    <t xml:space="preserve">          KITCHEN THREE PHASE KWH METER READING</t>
  </si>
  <si>
    <t xml:space="preserve">          KITCHEN WATER METER READING</t>
  </si>
  <si>
    <t>AMANI Restaurant WATER METER READING</t>
  </si>
  <si>
    <t xml:space="preserve">         LAUNDRY THREE PHASE KWH METER READING</t>
  </si>
  <si>
    <t xml:space="preserve">        LAUNDRY WATER METER READING</t>
  </si>
  <si>
    <t xml:space="preserve">   DATE</t>
  </si>
  <si>
    <t xml:space="preserve"> READING  TIME</t>
  </si>
  <si>
    <t>METER READING OPEN</t>
  </si>
  <si>
    <t>METER READING ClOSE</t>
  </si>
  <si>
    <t>UNIT USED Kwh</t>
  </si>
  <si>
    <t>METER READING OPEN Cbm</t>
  </si>
  <si>
    <t>METER READING ClOSE Cbm</t>
  </si>
  <si>
    <t>UNIT USED Cbm</t>
  </si>
  <si>
    <t>Cost Per day Elct+Water $</t>
  </si>
  <si>
    <t xml:space="preserve">% as per the total Lodge consumption </t>
  </si>
  <si>
    <t>METER READING OPEN (Kwh)</t>
  </si>
  <si>
    <t>METER READING ClOSE (Kwh)</t>
  </si>
  <si>
    <t xml:space="preserve">Close Last Month </t>
  </si>
  <si>
    <t>X120</t>
  </si>
  <si>
    <t xml:space="preserve">Date </t>
  </si>
  <si>
    <t>Total occupancy</t>
  </si>
  <si>
    <t>Diesel balance LTS</t>
  </si>
  <si>
    <t>Diesel Deliveries</t>
  </si>
  <si>
    <t>Gen.Diesel              consumption LTS</t>
  </si>
  <si>
    <t>Total Diesel consumption LTS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</si>
  <si>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</si>
  <si>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</si>
  <si>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</si>
  <si>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</si>
  <si>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RO Meter reading</t>
  </si>
  <si>
    <t>STP</t>
  </si>
  <si>
    <t>GAS TANK A</t>
  </si>
  <si>
    <t>GAS TANK B</t>
  </si>
  <si>
    <t>GAS TANK C</t>
  </si>
  <si>
    <t xml:space="preserve">Total Gas Tanks </t>
  </si>
  <si>
    <t>Kg /day</t>
  </si>
  <si>
    <t>TOTAL GAS cons.</t>
  </si>
  <si>
    <t>Rate Tsh /$</t>
  </si>
  <si>
    <t>Diesel cost / lits</t>
  </si>
  <si>
    <t>Transport consumption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</si>
  <si>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</si>
  <si>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</si>
  <si>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</si>
  <si>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</si>
  <si>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</si>
  <si>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</si>
  <si>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</si>
  <si>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</si>
  <si>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Rooms  OCC</t>
  </si>
  <si>
    <t xml:space="preserve"> Guest Rooms Occ </t>
  </si>
  <si>
    <t xml:space="preserve"> Electricity Production Cost /Room Occ by guest</t>
  </si>
  <si>
    <t>All Cost /Room Occ by guest</t>
  </si>
  <si>
    <t>Flow M3</t>
  </si>
  <si>
    <t>Reading Hours Meter</t>
  </si>
  <si>
    <t>Hrs</t>
  </si>
  <si>
    <t>total production M3</t>
  </si>
  <si>
    <t>READING HOURS METER</t>
  </si>
  <si>
    <t>M3</t>
  </si>
  <si>
    <t>Kg</t>
  </si>
  <si>
    <t xml:space="preserve">Room Occupied </t>
  </si>
  <si>
    <t>Electricity Units Generated KW</t>
  </si>
  <si>
    <t>Diseal</t>
  </si>
  <si>
    <t>Water</t>
  </si>
  <si>
    <t>Gas</t>
  </si>
  <si>
    <t>Cost of utilites</t>
  </si>
  <si>
    <t>Generator</t>
  </si>
  <si>
    <t>Transport</t>
  </si>
  <si>
    <t xml:space="preserve">Total </t>
  </si>
  <si>
    <t>RO</t>
  </si>
  <si>
    <t>Total Consumption</t>
  </si>
  <si>
    <t>2 ton</t>
  </si>
  <si>
    <t>1 Ton</t>
  </si>
  <si>
    <t>Total consumption</t>
  </si>
  <si>
    <t>Electricity /1.4$/liter</t>
  </si>
  <si>
    <t>Diseal for Transport</t>
  </si>
  <si>
    <t>Gas /2.38$/Kg</t>
  </si>
  <si>
    <t>Total HLP Cost</t>
  </si>
  <si>
    <t>Electricity Cost/Room  $</t>
  </si>
  <si>
    <t>cost/Room $</t>
  </si>
  <si>
    <t>Total</t>
  </si>
  <si>
    <t>BILILA LODGE INVESTMENT LIMITED</t>
  </si>
  <si>
    <t xml:space="preserve">Diesel Consumed by 500KVA Generator </t>
  </si>
  <si>
    <t>500KVA  Generator KWh</t>
  </si>
  <si>
    <t>Safari-STAFF</t>
  </si>
  <si>
    <t>Lc/swg/gust</t>
  </si>
  <si>
    <t>Eng pikcup</t>
  </si>
  <si>
    <t xml:space="preserve">VIP Safari Car </t>
  </si>
  <si>
    <t>GX Guest</t>
  </si>
  <si>
    <t>T/Hillux/pur</t>
  </si>
  <si>
    <t xml:space="preserve">    TATA</t>
  </si>
  <si>
    <t>MAN</t>
  </si>
  <si>
    <t>F/Truck</t>
  </si>
  <si>
    <t>Incenerator</t>
  </si>
  <si>
    <t>A&amp;K</t>
  </si>
  <si>
    <t>OTHER</t>
  </si>
  <si>
    <t>TOTAL CO</t>
  </si>
  <si>
    <t>Occupancy %</t>
  </si>
  <si>
    <t>OPENING</t>
  </si>
  <si>
    <t>Received</t>
  </si>
  <si>
    <t>Schedule delivery</t>
  </si>
  <si>
    <t>Company</t>
  </si>
  <si>
    <t>Total Diseal Consumed</t>
  </si>
  <si>
    <t>Total Kwh generated</t>
  </si>
  <si>
    <t>Average Diesel/Kwh</t>
  </si>
  <si>
    <t>T 128 AXJ</t>
  </si>
  <si>
    <t>T 134 AXJ</t>
  </si>
  <si>
    <t>T 499 AXG</t>
  </si>
  <si>
    <t>T 217 CHV</t>
  </si>
  <si>
    <t>T 214 CHV</t>
  </si>
  <si>
    <t>T 139 AXE</t>
  </si>
  <si>
    <t xml:space="preserve">  T 242 AXN</t>
  </si>
  <si>
    <t>T 476 AWZ</t>
  </si>
  <si>
    <t>T 226 AUQ</t>
  </si>
  <si>
    <t>T 308 CLD</t>
  </si>
  <si>
    <t>T 852 AWU</t>
  </si>
  <si>
    <t>Machine ENG</t>
  </si>
  <si>
    <t>Vehicle</t>
  </si>
  <si>
    <t>Total Diseal Consumed Gen &amp;  Vehicle</t>
  </si>
  <si>
    <t>Total cost /Day (TSH)</t>
  </si>
  <si>
    <t>BALANCE</t>
  </si>
  <si>
    <t>PUMA</t>
  </si>
  <si>
    <t>RAHA</t>
  </si>
  <si>
    <t>BF</t>
  </si>
  <si>
    <t>Nb Day</t>
  </si>
  <si>
    <t>TZS</t>
  </si>
  <si>
    <t>Av. Occ</t>
  </si>
  <si>
    <t>USD</t>
  </si>
  <si>
    <t xml:space="preserve">A &amp; K  VEHICLES </t>
  </si>
  <si>
    <t>MAULY VEHICLES</t>
  </si>
  <si>
    <t>GREEN LAND VEHICLES</t>
  </si>
  <si>
    <t>OTHERS VEHICLES</t>
  </si>
  <si>
    <t>Vehicles</t>
  </si>
  <si>
    <t xml:space="preserve">Liters </t>
  </si>
  <si>
    <t>Driver name</t>
  </si>
  <si>
    <t>Authority manager</t>
  </si>
  <si>
    <t>Authorized Manager</t>
  </si>
  <si>
    <t>Liters</t>
  </si>
  <si>
    <t>Athorized Manager</t>
  </si>
  <si>
    <t>Reasons</t>
  </si>
  <si>
    <t>T840DDW</t>
  </si>
  <si>
    <t>Donald</t>
  </si>
  <si>
    <t>Huruma</t>
  </si>
  <si>
    <t>T726DCD</t>
  </si>
  <si>
    <t>Jafari</t>
  </si>
  <si>
    <t>T391DQR</t>
  </si>
  <si>
    <t>Joseph</t>
  </si>
  <si>
    <t>18/1282021</t>
  </si>
  <si>
    <t>T827CuD</t>
  </si>
  <si>
    <t>Charles</t>
  </si>
  <si>
    <t>T106CWQ</t>
  </si>
  <si>
    <t>Andason</t>
  </si>
  <si>
    <t>18/12/2021</t>
  </si>
  <si>
    <t>T662CZG</t>
  </si>
  <si>
    <t>Michael</t>
  </si>
  <si>
    <t>14/12/2021</t>
  </si>
  <si>
    <t>29/12/2021</t>
  </si>
  <si>
    <t>17/12/2021</t>
  </si>
  <si>
    <t>T882DKQ</t>
  </si>
  <si>
    <t>Herman</t>
  </si>
  <si>
    <t>T111CWQ</t>
  </si>
  <si>
    <t>Mushi</t>
  </si>
  <si>
    <t>20/12/2021</t>
  </si>
  <si>
    <t>George</t>
  </si>
  <si>
    <t>T132CWQ</t>
  </si>
  <si>
    <t>Jeremia</t>
  </si>
  <si>
    <t>21/12/2021</t>
  </si>
  <si>
    <t>T880DKQ</t>
  </si>
  <si>
    <t>Priscus</t>
  </si>
  <si>
    <t>22/12/2021</t>
  </si>
  <si>
    <t>26/12/2021</t>
  </si>
  <si>
    <t>28/12/2021</t>
  </si>
  <si>
    <t>Dickson</t>
  </si>
  <si>
    <t>31/12/2021</t>
  </si>
  <si>
    <t>Richard</t>
  </si>
  <si>
    <t>huruma</t>
  </si>
  <si>
    <t>T675ANT</t>
  </si>
  <si>
    <t>Gurisha</t>
  </si>
  <si>
    <t>T364AHF</t>
  </si>
  <si>
    <t>Dominic</t>
  </si>
  <si>
    <t>31/12//2021</t>
  </si>
  <si>
    <t xml:space="preserve">Four Sasons Safari Lodge Serengeti </t>
  </si>
  <si>
    <t>VALUE</t>
  </si>
  <si>
    <t xml:space="preserve">Cost </t>
  </si>
  <si>
    <t>DATE</t>
  </si>
  <si>
    <t>A</t>
  </si>
  <si>
    <t>B</t>
  </si>
  <si>
    <t>C</t>
  </si>
  <si>
    <t xml:space="preserve">Meter Reading </t>
  </si>
  <si>
    <t>Occu</t>
  </si>
  <si>
    <t xml:space="preserve">No.of </t>
  </si>
  <si>
    <t>2Ton%</t>
  </si>
  <si>
    <t>1Ton (%)</t>
  </si>
  <si>
    <t>1Ton%</t>
  </si>
  <si>
    <t>consumption</t>
  </si>
  <si>
    <t>Consumption Kg</t>
  </si>
  <si>
    <t>pax</t>
  </si>
  <si>
    <t>per pax</t>
  </si>
  <si>
    <t>TOTAL USAGE</t>
  </si>
  <si>
    <t>Gen Set Hours Working</t>
  </si>
  <si>
    <t>Occ%</t>
  </si>
  <si>
    <t>Total OCC  Room</t>
  </si>
  <si>
    <t>Guest Room Occ</t>
  </si>
  <si>
    <t>Total Kwh Generated</t>
  </si>
  <si>
    <t xml:space="preserve"> Diesel consumed by Gen (Ltrs)</t>
  </si>
  <si>
    <t xml:space="preserve"> Diesel consumed by Vehicle (Ltrs)</t>
  </si>
  <si>
    <t>Total diesel consumed (Ltrs)</t>
  </si>
  <si>
    <t>Balance stock of Diesel (Ltrs)</t>
  </si>
  <si>
    <t xml:space="preserve">Water consumed </t>
  </si>
  <si>
    <t xml:space="preserve">Gas consumed (KG) </t>
  </si>
  <si>
    <t xml:space="preserve">Four Seasons Safari Lodge Serengeti - Water Report </t>
  </si>
  <si>
    <t>Main Meter</t>
  </si>
  <si>
    <t>KITCHEN</t>
  </si>
  <si>
    <t xml:space="preserve">Amani café </t>
  </si>
  <si>
    <t>Main SW POOL</t>
  </si>
  <si>
    <t>Laundry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</si>
  <si>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</si>
  <si>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</si>
  <si>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</si>
  <si>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</si>
  <si>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BORE HOLE NO.5      METER READING</t>
  </si>
  <si>
    <t>BORE HOLE NO.6      METER READING</t>
  </si>
  <si>
    <t>RAIN WATER  - METER READING</t>
  </si>
  <si>
    <t>TOTAL WATER PRODUCTION</t>
  </si>
  <si>
    <t>Open Bal</t>
  </si>
  <si>
    <t>Final</t>
  </si>
  <si>
    <t>Total        consumption</t>
  </si>
  <si>
    <t xml:space="preserve">OPEN </t>
  </si>
  <si>
    <t>FINAL</t>
  </si>
  <si>
    <t>PROD.</t>
  </si>
  <si>
    <t>10/27//2009</t>
  </si>
  <si>
    <t>KL</t>
  </si>
  <si>
    <t xml:space="preserve">WATER TANK LEVEL </t>
  </si>
  <si>
    <t>RAW WATER TANK NO.1</t>
  </si>
  <si>
    <t>RAW WATER TANK NO.2</t>
  </si>
  <si>
    <t xml:space="preserve">TREATED WATER TANK </t>
  </si>
  <si>
    <t xml:space="preserve">TREATED -HILL TANK </t>
  </si>
  <si>
    <t>TOTAL WATER AVAILABLE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</si>
  <si>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</si>
  <si>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</si>
  <si>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</si>
  <si>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</si>
  <si>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cm </t>
  </si>
  <si>
    <t>m³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</si>
  <si>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</si>
  <si>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</si>
  <si>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</si>
  <si>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</si>
  <si>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Usage KG</t>
  </si>
  <si>
    <t>GENERATOR NO.1</t>
  </si>
  <si>
    <t>GENERATOR NO.2</t>
  </si>
  <si>
    <t>GENERATOR NO.4</t>
  </si>
  <si>
    <t>GENERATOR NO.5</t>
  </si>
  <si>
    <t>GENERATOR NO.6</t>
  </si>
  <si>
    <t xml:space="preserve">DATE </t>
  </si>
  <si>
    <t>OCC%</t>
  </si>
  <si>
    <t>D-TANK A</t>
  </si>
  <si>
    <t>D-TANK B</t>
  </si>
  <si>
    <t>DELIVERY DATE</t>
  </si>
  <si>
    <t xml:space="preserve">DELIVERY </t>
  </si>
  <si>
    <t>ISSUED-VEHICLE</t>
  </si>
  <si>
    <t>OTHERS</t>
  </si>
  <si>
    <t>M-R LV PANEL 1. KW-HR</t>
  </si>
  <si>
    <t>M-R LV PANEL 2. KW-HR</t>
  </si>
  <si>
    <t xml:space="preserve">OPEN HRS READING </t>
  </si>
  <si>
    <t>CLOSE HRS READING</t>
  </si>
  <si>
    <t>RUNNING HRS</t>
  </si>
  <si>
    <t>TOTAL RUNNING HRS</t>
  </si>
  <si>
    <t>MAX KW</t>
  </si>
  <si>
    <t>MIN-KW</t>
  </si>
  <si>
    <t>TOTAL DIESEL CONS.</t>
  </si>
  <si>
    <t>Usage</t>
  </si>
  <si>
    <t>Generator and Diseal Summry Report</t>
  </si>
  <si>
    <t>Diesel Cost</t>
  </si>
  <si>
    <t>Rate$</t>
  </si>
  <si>
    <t xml:space="preserve">% of Gas  balance in Tank </t>
  </si>
  <si>
    <t xml:space="preserve">% of Dieasel balance in Tank </t>
  </si>
  <si>
    <t>HLP Cost (TSH)</t>
  </si>
  <si>
    <t>Total Cost (TSH)</t>
  </si>
  <si>
    <t>Consumption Guest Occ%</t>
  </si>
  <si>
    <t>Budget Cost Per Room occ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</si>
  <si>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</si>
  <si>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</si>
  <si>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</si>
  <si>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</si>
  <si>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>Electricity</t>
  </si>
  <si>
    <t>Cost per Room Total OOC  Usd</t>
  </si>
  <si>
    <t>Cost per Room  Guest OOC  Usd</t>
  </si>
  <si>
    <t xml:space="preserve">Over budget </t>
  </si>
  <si>
    <t>VODACOM AND AIRTEL KWH  METER READING</t>
  </si>
  <si>
    <t>VODACOM TOWER</t>
  </si>
  <si>
    <t>AIRTEL TOWER</t>
  </si>
  <si>
    <t>OPEN METER READING</t>
  </si>
  <si>
    <t>CLOSE METER READING</t>
  </si>
  <si>
    <t>UNIT CONSUMED</t>
  </si>
  <si>
    <t>VODACOM POWER METER READING</t>
  </si>
  <si>
    <t>AITEL POWER METER READING</t>
  </si>
  <si>
    <t>FUEL METER  1 READNG</t>
  </si>
  <si>
    <t>FUEL METER 2 READING</t>
  </si>
  <si>
    <t xml:space="preserve">Diesel consumed </t>
  </si>
  <si>
    <t>HLP-GENSETS</t>
  </si>
  <si>
    <t>DIFFERENCE</t>
  </si>
  <si>
    <t>OPEN METER</t>
  </si>
  <si>
    <t>CLOSE METER</t>
  </si>
  <si>
    <t>DIESEL CONSUMED</t>
  </si>
  <si>
    <t>HLP-VEHICLES</t>
  </si>
  <si>
    <t>DIESEL PUMP 01 READINGS</t>
  </si>
  <si>
    <t>DIESEL PUMP 02 READINGS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</si>
  <si>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</si>
  <si>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</si>
  <si>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</si>
  <si>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</si>
  <si>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</si>
  <si>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VEHICLE CONSUMPTION</t>
  </si>
  <si>
    <t>CONSUMPTION</t>
  </si>
  <si>
    <t>BOREHOLE PRODUCTION</t>
  </si>
  <si>
    <t>RO PRODUCTION</t>
  </si>
  <si>
    <t>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</si>
</sst>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TSh&quot;* #,##0_-;\-&quot;TSh&quot;* #,##0_-;_-&quot;TSh&quot;* &quot;-&quot;_-;_-@_-"/>
    <numFmt numFmtId="165" formatCode="_-* #,##0_-;\-* #,##0_-;_-* &quot;-&quot;_-;_-@_-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0.0%"/>
    <numFmt numFmtId="171" formatCode="0.0"/>
    <numFmt numFmtId="172" formatCode="_([$TZS]\ * #,##0_);_([$TZS]\ * \(#,##0\);_([$TZS]\ * &quot;-&quot;_);_(@_)"/>
    <numFmt numFmtId="173" formatCode="_([$TZS]\ * #,##0.00_);_([$TZS]\ * \(#,##0.00\);_([$TZS]\ * &quot;-&quot;??_);_(@_)"/>
    <numFmt numFmtId="174" formatCode="0.000"/>
    <numFmt numFmtId="175" formatCode="_(* #,##0.000_);_(* \(#,##0.000\);_(* &quot;-&quot;??_);_(@_)"/>
  </numFmts>
  <fonts count="7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Arial"/>
    </font>
    <font>
      <sz val="12"/>
      <name val="Arial"/>
    </font>
    <font>
      <b/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2"/>
      <color rgb="FFFF0000"/>
      <name val="Century Gothic"/>
      <family val="2"/>
    </font>
    <font>
      <sz val="14"/>
      <color rgb="FF000000"/>
      <name val="Arial"/>
      <charset val="1"/>
    </font>
    <font>
      <sz val="8"/>
      <color rgb="FF000000"/>
      <name val="Century Gothic"/>
      <family val="2"/>
    </font>
    <font>
      <b/>
      <sz val="9"/>
      <color rgb="FF000000"/>
      <name val="Calibri"/>
      <family val="2"/>
    </font>
    <font>
      <sz val="14"/>
      <color rgb="FF000000"/>
      <name val="Calibri"/>
      <family val="2"/>
    </font>
    <font>
      <sz val="8"/>
      <name val="Arial"/>
    </font>
    <font>
      <sz val="14"/>
      <name val="Arial"/>
    </font>
  </fonts>
  <fills count="5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E26B0A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rgb="FF948A54"/>
        <bgColor rgb="FF000000"/>
      </patternFill>
    </fill>
  </fills>
  <borders count="1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6">
    <xf numFmtId="0" fontId="0" fillId="0" borderId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48" fillId="0" borderId="0" applyFont="0" applyFill="0" applyBorder="0" applyAlignment="0" applyProtection="0"/>
    <xf numFmtId="164" fontId="5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061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3" fillId="0" borderId="23" xfId="0" applyFont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Border="1"/>
    <xf numFmtId="0" fontId="6" fillId="2" borderId="1" xfId="0" applyFont="1" applyFill="1" applyBorder="1"/>
    <xf numFmtId="43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43" fontId="3" fillId="9" borderId="1" xfId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0" fillId="0" borderId="4" xfId="0" applyBorder="1"/>
    <xf numFmtId="44" fontId="0" fillId="0" borderId="1" xfId="3" applyFont="1" applyBorder="1"/>
    <xf numFmtId="4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43" fontId="0" fillId="0" borderId="22" xfId="1" applyFont="1" applyBorder="1"/>
    <xf numFmtId="43" fontId="0" fillId="0" borderId="0" xfId="0" applyNumberFormat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43" fontId="0" fillId="0" borderId="0" xfId="1" applyFont="1"/>
    <xf numFmtId="170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43" fontId="12" fillId="0" borderId="4" xfId="1" applyFont="1" applyBorder="1"/>
    <xf numFmtId="43" fontId="12" fillId="0" borderId="14" xfId="1" applyFont="1" applyBorder="1"/>
    <xf numFmtId="43" fontId="12" fillId="0" borderId="1" xfId="1" applyFont="1" applyBorder="1"/>
    <xf numFmtId="43" fontId="12" fillId="0" borderId="26" xfId="1" applyFont="1" applyBorder="1"/>
    <xf numFmtId="43" fontId="0" fillId="0" borderId="1" xfId="1" applyFont="1" applyBorder="1"/>
    <xf numFmtId="9" fontId="0" fillId="0" borderId="0" xfId="6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44" fontId="0" fillId="0" borderId="9" xfId="3" applyFont="1" applyBorder="1"/>
    <xf numFmtId="44" fontId="0" fillId="0" borderId="8" xfId="3" applyFont="1" applyBorder="1"/>
    <xf numFmtId="44" fontId="0" fillId="0" borderId="10" xfId="3" applyFont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3" fillId="18" borderId="0" xfId="0" applyFont="1" applyFill="1" applyAlignment="1">
      <alignment horizontal="center"/>
    </xf>
    <xf numFmtId="0" fontId="3" fillId="18" borderId="0" xfId="0" applyFont="1" applyFill="1"/>
    <xf numFmtId="1" fontId="0" fillId="0" borderId="1" xfId="0" applyNumberFormat="1" applyBorder="1"/>
    <xf numFmtId="43" fontId="0" fillId="0" borderId="1" xfId="0" applyNumberFormat="1" applyBorder="1"/>
    <xf numFmtId="43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1" fontId="0" fillId="0" borderId="0" xfId="0" applyNumberFormat="1"/>
    <xf numFmtId="0" fontId="25" fillId="16" borderId="0" xfId="0" applyFont="1" applyFill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172" fontId="0" fillId="0" borderId="0" xfId="0" applyNumberFormat="1"/>
    <xf numFmtId="173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4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43" fontId="16" fillId="16" borderId="4" xfId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3" borderId="24" xfId="0" applyFont="1" applyFill="1" applyBorder="1" applyAlignment="1">
      <alignment horizontal="center"/>
    </xf>
    <xf numFmtId="43" fontId="16" fillId="0" borderId="1" xfId="1" applyFont="1" applyBorder="1" applyAlignment="1">
      <alignment horizontal="center"/>
    </xf>
    <xf numFmtId="43" fontId="16" fillId="0" borderId="22" xfId="1" applyFont="1" applyBorder="1" applyAlignment="1">
      <alignment horizontal="center"/>
    </xf>
    <xf numFmtId="43" fontId="16" fillId="16" borderId="1" xfId="1" applyFont="1" applyFill="1" applyBorder="1" applyAlignment="1">
      <alignment horizontal="center"/>
    </xf>
    <xf numFmtId="43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43" fontId="11" fillId="9" borderId="1" xfId="1" applyFont="1" applyFill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43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4" fillId="5" borderId="62" xfId="0" applyFont="1" applyFill="1" applyBorder="1" applyAlignment="1">
      <alignment horizontal="center"/>
    </xf>
    <xf numFmtId="0" fontId="34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0" xfId="0" applyFont="1" applyFill="1"/>
    <xf numFmtId="0" fontId="32" fillId="0" borderId="0" xfId="0" applyFont="1" applyAlignment="1">
      <alignment horizontal="center"/>
    </xf>
    <xf numFmtId="9" fontId="4" fillId="0" borderId="0" xfId="6" applyFont="1" applyAlignment="1">
      <alignment horizontal="center"/>
    </xf>
    <xf numFmtId="43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0" fillId="0" borderId="48" xfId="0" applyBorder="1"/>
    <xf numFmtId="0" fontId="0" fillId="7" borderId="5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5" fillId="0" borderId="1" xfId="2" applyNumberFormat="1" applyFont="1" applyFill="1" applyBorder="1" applyAlignment="1">
      <alignment horizontal="center"/>
    </xf>
    <xf numFmtId="169" fontId="5" fillId="0" borderId="26" xfId="0" applyNumberFormat="1" applyFont="1" applyBorder="1" applyAlignment="1">
      <alignment horizontal="center"/>
    </xf>
    <xf numFmtId="0" fontId="23" fillId="0" borderId="32" xfId="0" applyFont="1" applyBorder="1" applyAlignment="1">
      <alignment horizontal="center" vertic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/>
    <xf numFmtId="0" fontId="6" fillId="29" borderId="22" xfId="0" applyFont="1" applyFill="1" applyBorder="1"/>
    <xf numFmtId="0" fontId="39" fillId="0" borderId="1" xfId="0" applyFont="1" applyBorder="1"/>
    <xf numFmtId="1" fontId="36" fillId="0" borderId="1" xfId="0" applyNumberFormat="1" applyFont="1" applyBorder="1"/>
    <xf numFmtId="0" fontId="0" fillId="16" borderId="1" xfId="0" applyFill="1" applyBorder="1" applyAlignment="1">
      <alignment horizontal="center"/>
    </xf>
    <xf numFmtId="43" fontId="15" fillId="11" borderId="22" xfId="1" applyFont="1" applyFill="1" applyBorder="1" applyAlignment="1">
      <alignment horizontal="center"/>
    </xf>
    <xf numFmtId="0" fontId="0" fillId="0" borderId="35" xfId="0" applyBorder="1"/>
    <xf numFmtId="14" fontId="0" fillId="16" borderId="0" xfId="0" applyNumberFormat="1" applyFill="1"/>
    <xf numFmtId="166" fontId="0" fillId="16" borderId="0" xfId="1" applyNumberFormat="1" applyFont="1" applyFill="1" applyBorder="1"/>
    <xf numFmtId="9" fontId="0" fillId="16" borderId="0" xfId="0" applyNumberFormat="1" applyFill="1"/>
    <xf numFmtId="43" fontId="0" fillId="16" borderId="0" xfId="0" applyNumberFormat="1" applyFill="1"/>
    <xf numFmtId="0" fontId="0" fillId="16" borderId="0" xfId="0" applyFill="1"/>
    <xf numFmtId="43" fontId="33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43" fontId="0" fillId="11" borderId="1" xfId="0" applyNumberFormat="1" applyFill="1" applyBorder="1"/>
    <xf numFmtId="9" fontId="0" fillId="20" borderId="1" xfId="0" applyNumberFormat="1" applyFill="1" applyBorder="1"/>
    <xf numFmtId="43" fontId="16" fillId="16" borderId="12" xfId="1" applyFont="1" applyFill="1" applyBorder="1" applyAlignment="1">
      <alignment horizontal="center"/>
    </xf>
    <xf numFmtId="43" fontId="16" fillId="16" borderId="22" xfId="1" applyFont="1" applyFill="1" applyBorder="1" applyAlignment="1">
      <alignment horizontal="center"/>
    </xf>
    <xf numFmtId="43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36" borderId="26" xfId="0" applyFill="1" applyBorder="1"/>
    <xf numFmtId="0" fontId="0" fillId="0" borderId="26" xfId="0" applyBorder="1"/>
    <xf numFmtId="0" fontId="0" fillId="36" borderId="1" xfId="0" applyFill="1" applyBorder="1"/>
    <xf numFmtId="0" fontId="0" fillId="13" borderId="26" xfId="0" applyFill="1" applyBorder="1"/>
    <xf numFmtId="43" fontId="10" fillId="8" borderId="38" xfId="0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3" fillId="7" borderId="4" xfId="0" applyFont="1" applyFill="1" applyBorder="1" applyAlignment="1">
      <alignment horizontal="center"/>
    </xf>
    <xf numFmtId="43" fontId="10" fillId="8" borderId="30" xfId="0" applyNumberFormat="1" applyFont="1" applyFill="1" applyBorder="1" applyAlignment="1">
      <alignment horizontal="center"/>
    </xf>
    <xf numFmtId="4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1" fontId="0" fillId="33" borderId="10" xfId="0" applyNumberFormat="1" applyFill="1" applyBorder="1"/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43" fontId="4" fillId="0" borderId="9" xfId="1" applyFont="1" applyBorder="1" applyAlignment="1">
      <alignment horizontal="center"/>
    </xf>
    <xf numFmtId="0" fontId="4" fillId="34" borderId="58" xfId="0" applyFont="1" applyFill="1" applyBorder="1" applyAlignment="1">
      <alignment horizontal="center"/>
    </xf>
    <xf numFmtId="0" fontId="4" fillId="34" borderId="60" xfId="0" applyFont="1" applyFill="1" applyBorder="1" applyAlignment="1">
      <alignment horizontal="center"/>
    </xf>
    <xf numFmtId="0" fontId="4" fillId="34" borderId="59" xfId="0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0" fillId="3" borderId="30" xfId="0" applyFont="1" applyFill="1" applyBorder="1" applyAlignment="1">
      <alignment horizontal="center"/>
    </xf>
    <xf numFmtId="0" fontId="10" fillId="3" borderId="61" xfId="0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43" fontId="15" fillId="11" borderId="26" xfId="1" applyFont="1" applyFill="1" applyBorder="1" applyAlignment="1">
      <alignment horizontal="center"/>
    </xf>
    <xf numFmtId="0" fontId="10" fillId="11" borderId="38" xfId="0" applyFont="1" applyFill="1" applyBorder="1" applyAlignment="1">
      <alignment horizontal="center"/>
    </xf>
    <xf numFmtId="43" fontId="11" fillId="9" borderId="26" xfId="1" applyFont="1" applyFill="1" applyBorder="1" applyAlignment="1">
      <alignment horizontal="center"/>
    </xf>
    <xf numFmtId="43" fontId="16" fillId="16" borderId="15" xfId="1" applyFont="1" applyFill="1" applyBorder="1" applyAlignment="1">
      <alignment horizontal="center"/>
    </xf>
    <xf numFmtId="43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43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6" fillId="0" borderId="1" xfId="2" applyNumberFormat="1" applyFont="1" applyBorder="1"/>
    <xf numFmtId="0" fontId="47" fillId="0" borderId="1" xfId="0" applyFont="1" applyBorder="1"/>
    <xf numFmtId="0" fontId="4" fillId="0" borderId="1" xfId="0" applyFont="1" applyBorder="1" applyAlignment="1">
      <alignment horizontal="center"/>
    </xf>
    <xf numFmtId="0" fontId="25" fillId="0" borderId="89" xfId="0" applyFont="1" applyBorder="1"/>
    <xf numFmtId="0" fontId="26" fillId="0" borderId="0" xfId="0" applyFont="1" applyAlignment="1">
      <alignment horizontal="center"/>
    </xf>
    <xf numFmtId="0" fontId="19" fillId="14" borderId="38" xfId="0" applyFont="1" applyFill="1" applyBorder="1" applyAlignment="1">
      <alignment horizontal="center" wrapText="1"/>
    </xf>
    <xf numFmtId="165" fontId="0" fillId="0" borderId="40" xfId="9" applyFont="1" applyBorder="1" applyAlignment="1">
      <alignment horizontal="center" vertical="center"/>
    </xf>
    <xf numFmtId="165" fontId="0" fillId="0" borderId="49" xfId="9" applyFont="1" applyBorder="1" applyAlignment="1">
      <alignment horizontal="center" vertical="center"/>
    </xf>
    <xf numFmtId="165" fontId="0" fillId="0" borderId="16" xfId="9" applyFont="1" applyBorder="1" applyAlignment="1">
      <alignment horizontal="center" vertical="center"/>
    </xf>
    <xf numFmtId="165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4" fillId="0" borderId="48" xfId="0" applyFont="1" applyBorder="1" applyAlignment="1">
      <alignment horizontal="center"/>
    </xf>
    <xf numFmtId="1" fontId="54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7" borderId="33" xfId="0" applyFont="1" applyFill="1" applyBorder="1" applyAlignment="1">
      <alignment horizontal="center"/>
    </xf>
    <xf numFmtId="0" fontId="55" fillId="0" borderId="48" xfId="0" applyFont="1" applyBorder="1" applyAlignment="1">
      <alignment horizontal="center" wrapText="1"/>
    </xf>
    <xf numFmtId="2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2" fillId="12" borderId="1" xfId="3" applyFont="1" applyFill="1" applyBorder="1"/>
    <xf numFmtId="4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43" fontId="16" fillId="0" borderId="5" xfId="1" applyFont="1" applyFill="1" applyBorder="1" applyAlignment="1">
      <alignment horizontal="center"/>
    </xf>
    <xf numFmtId="165" fontId="0" fillId="0" borderId="90" xfId="9" applyFont="1" applyBorder="1" applyAlignment="1">
      <alignment horizontal="center" vertical="center"/>
    </xf>
    <xf numFmtId="165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14" fontId="38" fillId="0" borderId="16" xfId="0" applyNumberFormat="1" applyFont="1" applyBorder="1" applyAlignment="1">
      <alignment vertical="top"/>
    </xf>
    <xf numFmtId="43" fontId="0" fillId="0" borderId="8" xfId="0" applyNumberFormat="1" applyBorder="1"/>
    <xf numFmtId="0" fontId="0" fillId="0" borderId="8" xfId="0" applyBorder="1"/>
    <xf numFmtId="43" fontId="0" fillId="0" borderId="9" xfId="0" applyNumberFormat="1" applyBorder="1"/>
    <xf numFmtId="43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4" fillId="0" borderId="33" xfId="0" applyFont="1" applyBorder="1" applyAlignment="1">
      <alignment horizontal="center"/>
    </xf>
    <xf numFmtId="1" fontId="54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0" fontId="0" fillId="16" borderId="26" xfId="0" applyFill="1" applyBorder="1"/>
    <xf numFmtId="0" fontId="19" fillId="0" borderId="80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43" fontId="3" fillId="9" borderId="1" xfId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 vertical="top" wrapText="1"/>
    </xf>
    <xf numFmtId="0" fontId="0" fillId="34" borderId="16" xfId="0" applyFill="1" applyBorder="1" applyAlignment="1">
      <alignment horizontal="center" wrapText="1"/>
    </xf>
    <xf numFmtId="0" fontId="10" fillId="0" borderId="34" xfId="1" applyNumberFormat="1" applyFont="1" applyFill="1" applyBorder="1" applyAlignment="1">
      <alignment horizontal="center" vertical="center" wrapText="1"/>
    </xf>
    <xf numFmtId="43" fontId="16" fillId="0" borderId="8" xfId="1" applyFont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43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/>
    <xf numFmtId="0" fontId="4" fillId="7" borderId="61" xfId="0" applyFont="1" applyFill="1" applyBorder="1" applyAlignment="1">
      <alignment wrapText="1"/>
    </xf>
    <xf numFmtId="0" fontId="4" fillId="0" borderId="9" xfId="0" applyFont="1" applyBorder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16" xfId="0" applyFont="1" applyBorder="1"/>
    <xf numFmtId="0" fontId="39" fillId="0" borderId="16" xfId="0" applyFont="1" applyBorder="1"/>
    <xf numFmtId="0" fontId="4" fillId="0" borderId="21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/>
    <xf numFmtId="0" fontId="37" fillId="37" borderId="11" xfId="0" applyFont="1" applyFill="1" applyBorder="1"/>
    <xf numFmtId="0" fontId="37" fillId="37" borderId="28" xfId="0" applyFont="1" applyFill="1" applyBorder="1"/>
    <xf numFmtId="0" fontId="37" fillId="37" borderId="12" xfId="0" applyFont="1" applyFill="1" applyBorder="1"/>
    <xf numFmtId="0" fontId="3" fillId="37" borderId="12" xfId="0" applyFont="1" applyFill="1" applyBorder="1" applyAlignment="1">
      <alignment horizontal="center" vertical="center"/>
    </xf>
    <xf numFmtId="14" fontId="0" fillId="0" borderId="0" xfId="0" applyNumberFormat="1"/>
    <xf numFmtId="0" fontId="58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43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/>
    <xf numFmtId="14" fontId="4" fillId="0" borderId="8" xfId="0" applyNumberFormat="1" applyFont="1" applyBorder="1"/>
    <xf numFmtId="14" fontId="4" fillId="0" borderId="10" xfId="0" applyNumberFormat="1" applyFont="1" applyBorder="1"/>
    <xf numFmtId="14" fontId="4" fillId="0" borderId="17" xfId="0" applyNumberFormat="1" applyFont="1" applyBorder="1"/>
    <xf numFmtId="14" fontId="4" fillId="0" borderId="7" xfId="0" applyNumberFormat="1" applyFont="1" applyBorder="1"/>
    <xf numFmtId="0" fontId="4" fillId="7" borderId="60" xfId="0" applyFont="1" applyFill="1" applyBorder="1" applyAlignment="1">
      <alignment horizontal="center"/>
    </xf>
    <xf numFmtId="0" fontId="4" fillId="7" borderId="93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1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3" xfId="0" applyFont="1" applyFill="1" applyBorder="1" applyAlignment="1">
      <alignment horizontal="center"/>
    </xf>
    <xf numFmtId="0" fontId="4" fillId="7" borderId="80" xfId="0" applyFont="1" applyFill="1" applyBorder="1" applyAlignment="1">
      <alignment horizontal="center"/>
    </xf>
    <xf numFmtId="43" fontId="15" fillId="11" borderId="12" xfId="1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0" fontId="11" fillId="8" borderId="80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3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43" fontId="11" fillId="8" borderId="61" xfId="1" applyFont="1" applyFill="1" applyBorder="1" applyAlignment="1">
      <alignment horizontal="center"/>
    </xf>
    <xf numFmtId="43" fontId="16" fillId="0" borderId="35" xfId="1" applyFont="1" applyBorder="1" applyAlignment="1">
      <alignment horizontal="center"/>
    </xf>
    <xf numFmtId="43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43" fontId="16" fillId="0" borderId="6" xfId="1" applyFont="1" applyBorder="1" applyAlignment="1">
      <alignment horizontal="center"/>
    </xf>
    <xf numFmtId="43" fontId="16" fillId="0" borderId="42" xfId="1" applyFont="1" applyBorder="1" applyAlignment="1">
      <alignment horizontal="center"/>
    </xf>
    <xf numFmtId="43" fontId="16" fillId="0" borderId="9" xfId="1" applyFont="1" applyBorder="1" applyAlignment="1">
      <alignment horizontal="center"/>
    </xf>
    <xf numFmtId="43" fontId="16" fillId="0" borderId="92" xfId="1" applyFont="1" applyBorder="1" applyAlignment="1">
      <alignment horizontal="center"/>
    </xf>
    <xf numFmtId="43" fontId="16" fillId="16" borderId="13" xfId="1" applyFont="1" applyFill="1" applyBorder="1" applyAlignment="1">
      <alignment horizontal="center"/>
    </xf>
    <xf numFmtId="43" fontId="16" fillId="16" borderId="5" xfId="1" applyFont="1" applyFill="1" applyBorder="1" applyAlignment="1">
      <alignment horizontal="center"/>
    </xf>
    <xf numFmtId="43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43" fontId="11" fillId="11" borderId="17" xfId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43" fontId="11" fillId="11" borderId="16" xfId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5" fillId="0" borderId="30" xfId="0" applyFont="1" applyBorder="1"/>
    <xf numFmtId="3" fontId="0" fillId="28" borderId="80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4" xfId="0" applyFont="1" applyFill="1" applyBorder="1"/>
    <xf numFmtId="169" fontId="5" fillId="0" borderId="17" xfId="0" applyNumberFormat="1" applyFont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Border="1" applyAlignment="1">
      <alignment horizontal="center"/>
    </xf>
    <xf numFmtId="169" fontId="5" fillId="0" borderId="21" xfId="0" applyNumberFormat="1" applyFont="1" applyBorder="1" applyAlignment="1">
      <alignment horizontal="center"/>
    </xf>
    <xf numFmtId="0" fontId="25" fillId="23" borderId="9" xfId="0" applyFont="1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43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6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5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3" xfId="0" applyFont="1" applyFill="1" applyBorder="1" applyAlignment="1">
      <alignment horizontal="center"/>
    </xf>
    <xf numFmtId="0" fontId="4" fillId="34" borderId="95" xfId="0" applyFont="1" applyFill="1" applyBorder="1" applyAlignment="1">
      <alignment horizontal="center"/>
    </xf>
    <xf numFmtId="0" fontId="4" fillId="34" borderId="38" xfId="0" applyFont="1" applyFill="1" applyBorder="1" applyAlignment="1">
      <alignment horizontal="center"/>
    </xf>
    <xf numFmtId="0" fontId="19" fillId="12" borderId="0" xfId="0" applyFont="1" applyFill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4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4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166" fontId="2" fillId="15" borderId="6" xfId="1" applyNumberFormat="1" applyFont="1" applyFill="1" applyBorder="1"/>
    <xf numFmtId="4" fontId="0" fillId="6" borderId="6" xfId="0" applyNumberFormat="1" applyFill="1" applyBorder="1"/>
    <xf numFmtId="43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43" fontId="0" fillId="11" borderId="9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61" xfId="0" applyFont="1" applyBorder="1" applyAlignment="1">
      <alignment horizontal="center" vertical="top" wrapText="1"/>
    </xf>
    <xf numFmtId="9" fontId="23" fillId="0" borderId="40" xfId="0" applyNumberFormat="1" applyFont="1" applyBorder="1" applyAlignment="1">
      <alignment horizontal="center" vertical="center"/>
    </xf>
    <xf numFmtId="0" fontId="0" fillId="0" borderId="49" xfId="0" applyBorder="1"/>
    <xf numFmtId="0" fontId="0" fillId="0" borderId="97" xfId="0" applyBorder="1"/>
    <xf numFmtId="0" fontId="0" fillId="0" borderId="98" xfId="0" applyBorder="1"/>
    <xf numFmtId="169" fontId="5" fillId="0" borderId="41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0" fontId="0" fillId="16" borderId="6" xfId="0" applyFill="1" applyBorder="1"/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0" fillId="36" borderId="40" xfId="0" applyFill="1" applyBorder="1"/>
    <xf numFmtId="43" fontId="0" fillId="29" borderId="49" xfId="0" applyNumberFormat="1" applyFill="1" applyBorder="1"/>
    <xf numFmtId="0" fontId="0" fillId="36" borderId="96" xfId="0" applyFill="1" applyBorder="1"/>
    <xf numFmtId="0" fontId="0" fillId="36" borderId="97" xfId="0" applyFill="1" applyBorder="1"/>
    <xf numFmtId="0" fontId="0" fillId="36" borderId="9" xfId="0" applyFill="1" applyBorder="1"/>
    <xf numFmtId="0" fontId="0" fillId="13" borderId="97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46" fillId="0" borderId="16" xfId="0" applyFont="1" applyBorder="1" applyAlignment="1">
      <alignment horizontal="center" vertical="center" wrapText="1"/>
    </xf>
    <xf numFmtId="2" fontId="38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38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98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78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1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98" xfId="1" applyNumberFormat="1" applyFont="1" applyFill="1" applyBorder="1"/>
    <xf numFmtId="166" fontId="2" fillId="23" borderId="99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5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78" xfId="0" applyFont="1" applyBorder="1" applyAlignment="1">
      <alignment vertical="center"/>
    </xf>
    <xf numFmtId="169" fontId="5" fillId="0" borderId="63" xfId="0" applyNumberFormat="1" applyFont="1" applyBorder="1" applyAlignment="1">
      <alignment horizontal="center"/>
    </xf>
    <xf numFmtId="169" fontId="5" fillId="0" borderId="91" xfId="0" applyNumberFormat="1" applyFont="1" applyBorder="1" applyAlignment="1">
      <alignment horizontal="center"/>
    </xf>
    <xf numFmtId="43" fontId="0" fillId="12" borderId="25" xfId="0" applyNumberFormat="1" applyFill="1" applyBorder="1"/>
    <xf numFmtId="43" fontId="0" fillId="12" borderId="101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43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43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43" fontId="8" fillId="0" borderId="9" xfId="0" applyNumberFormat="1" applyFont="1" applyBorder="1"/>
    <xf numFmtId="43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1" fillId="0" borderId="26" xfId="0" applyFont="1" applyBorder="1" applyAlignment="1">
      <alignment horizontal="right"/>
    </xf>
    <xf numFmtId="43" fontId="39" fillId="0" borderId="0" xfId="0" applyNumberFormat="1" applyFont="1" applyAlignment="1">
      <alignment horizontal="center"/>
    </xf>
    <xf numFmtId="14" fontId="4" fillId="0" borderId="40" xfId="0" applyNumberFormat="1" applyFont="1" applyBorder="1"/>
    <xf numFmtId="0" fontId="4" fillId="0" borderId="26" xfId="0" applyFont="1" applyBorder="1"/>
    <xf numFmtId="0" fontId="4" fillId="0" borderId="49" xfId="0" applyFont="1" applyBorder="1" applyAlignment="1">
      <alignment horizontal="center"/>
    </xf>
    <xf numFmtId="0" fontId="23" fillId="0" borderId="5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43" fontId="0" fillId="0" borderId="0" xfId="1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0" borderId="99" xfId="0" applyFont="1" applyBorder="1" applyAlignment="1">
      <alignment horizontal="center"/>
    </xf>
    <xf numFmtId="0" fontId="10" fillId="0" borderId="101" xfId="0" applyFont="1" applyBorder="1" applyAlignment="1">
      <alignment horizontal="center"/>
    </xf>
    <xf numFmtId="0" fontId="0" fillId="38" borderId="1" xfId="0" applyFill="1" applyBorder="1"/>
    <xf numFmtId="43" fontId="0" fillId="29" borderId="1" xfId="1" applyFont="1" applyFill="1" applyBorder="1"/>
    <xf numFmtId="0" fontId="23" fillId="0" borderId="60" xfId="0" applyFont="1" applyBorder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0" fontId="23" fillId="0" borderId="60" xfId="0" applyFont="1" applyBorder="1" applyAlignment="1">
      <alignment horizontal="center" vertical="center" wrapText="1"/>
    </xf>
    <xf numFmtId="0" fontId="23" fillId="0" borderId="78" xfId="0" applyFont="1" applyBorder="1" applyAlignment="1">
      <alignment horizontal="center" vertical="center"/>
    </xf>
    <xf numFmtId="169" fontId="5" fillId="0" borderId="102" xfId="0" applyNumberFormat="1" applyFont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Border="1" applyAlignment="1">
      <alignment horizontal="center" vertical="center" wrapText="1"/>
    </xf>
    <xf numFmtId="3" fontId="25" fillId="0" borderId="1" xfId="0" applyNumberFormat="1" applyFont="1" applyBorder="1"/>
    <xf numFmtId="0" fontId="16" fillId="0" borderId="22" xfId="0" applyFont="1" applyBorder="1" applyAlignment="1">
      <alignment horizontal="center"/>
    </xf>
    <xf numFmtId="0" fontId="16" fillId="0" borderId="55" xfId="0" applyFont="1" applyBorder="1" applyAlignment="1">
      <alignment horizontal="center"/>
    </xf>
    <xf numFmtId="4" fontId="16" fillId="39" borderId="22" xfId="0" applyNumberFormat="1" applyFont="1" applyFill="1" applyBorder="1" applyAlignment="1">
      <alignment horizontal="center"/>
    </xf>
    <xf numFmtId="0" fontId="16" fillId="39" borderId="1" xfId="0" applyFont="1" applyFill="1" applyBorder="1" applyAlignment="1">
      <alignment horizontal="center"/>
    </xf>
    <xf numFmtId="4" fontId="16" fillId="39" borderId="5" xfId="0" applyNumberFormat="1" applyFont="1" applyFill="1" applyBorder="1" applyAlignment="1">
      <alignment horizontal="center"/>
    </xf>
    <xf numFmtId="4" fontId="16" fillId="39" borderId="1" xfId="0" applyNumberFormat="1" applyFont="1" applyFill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9" xfId="0" applyFont="1" applyBorder="1"/>
    <xf numFmtId="0" fontId="36" fillId="0" borderId="1" xfId="0" applyFont="1" applyBorder="1"/>
    <xf numFmtId="0" fontId="36" fillId="0" borderId="1" xfId="0" applyFont="1" applyBorder="1" applyAlignment="1">
      <alignment wrapText="1"/>
    </xf>
    <xf numFmtId="0" fontId="62" fillId="0" borderId="43" xfId="0" applyFont="1" applyBorder="1" applyAlignment="1">
      <alignment wrapText="1"/>
    </xf>
    <xf numFmtId="0" fontId="63" fillId="0" borderId="8" xfId="0" applyFont="1" applyBorder="1" applyAlignment="1">
      <alignment wrapText="1"/>
    </xf>
    <xf numFmtId="43" fontId="0" fillId="6" borderId="6" xfId="0" applyNumberFormat="1" applyFill="1" applyBorder="1"/>
    <xf numFmtId="43" fontId="0" fillId="6" borderId="1" xfId="0" applyNumberFormat="1" applyFill="1" applyBorder="1"/>
    <xf numFmtId="2" fontId="0" fillId="14" borderId="1" xfId="0" applyNumberFormat="1" applyFill="1" applyBorder="1"/>
    <xf numFmtId="2" fontId="0" fillId="0" borderId="0" xfId="6" applyNumberFormat="1" applyFont="1"/>
    <xf numFmtId="0" fontId="0" fillId="13" borderId="25" xfId="0" applyFill="1" applyBorder="1"/>
    <xf numFmtId="166" fontId="0" fillId="13" borderId="22" xfId="0" applyNumberFormat="1" applyFill="1" applyBorder="1"/>
    <xf numFmtId="166" fontId="64" fillId="13" borderId="22" xfId="0" applyNumberFormat="1" applyFont="1" applyFill="1" applyBorder="1"/>
    <xf numFmtId="166" fontId="66" fillId="8" borderId="1" xfId="0" applyNumberFormat="1" applyFont="1" applyFill="1" applyBorder="1"/>
    <xf numFmtId="166" fontId="67" fillId="8" borderId="1" xfId="0" applyNumberFormat="1" applyFont="1" applyFill="1" applyBorder="1"/>
    <xf numFmtId="166" fontId="46" fillId="8" borderId="1" xfId="4" applyNumberFormat="1" applyFont="1" applyFill="1" applyBorder="1" applyAlignment="1">
      <alignment horizontal="right"/>
    </xf>
    <xf numFmtId="0" fontId="7" fillId="8" borderId="25" xfId="0" applyFont="1" applyFill="1" applyBorder="1"/>
    <xf numFmtId="166" fontId="7" fillId="8" borderId="26" xfId="0" applyNumberFormat="1" applyFont="1" applyFill="1" applyBorder="1"/>
    <xf numFmtId="0" fontId="64" fillId="8" borderId="1" xfId="0" applyFont="1" applyFill="1" applyBorder="1"/>
    <xf numFmtId="0" fontId="64" fillId="8" borderId="22" xfId="0" applyFont="1" applyFill="1" applyBorder="1"/>
    <xf numFmtId="166" fontId="64" fillId="8" borderId="25" xfId="0" applyNumberFormat="1" applyFont="1" applyFill="1" applyBorder="1"/>
    <xf numFmtId="0" fontId="64" fillId="8" borderId="26" xfId="0" applyFont="1" applyFill="1" applyBorder="1"/>
    <xf numFmtId="166" fontId="64" fillId="8" borderId="1" xfId="0" applyNumberFormat="1" applyFont="1" applyFill="1" applyBorder="1"/>
    <xf numFmtId="166" fontId="64" fillId="8" borderId="26" xfId="0" applyNumberFormat="1" applyFont="1" applyFill="1" applyBorder="1"/>
    <xf numFmtId="166" fontId="7" fillId="9" borderId="1" xfId="1" applyNumberFormat="1" applyFont="1" applyFill="1" applyBorder="1"/>
    <xf numFmtId="0" fontId="68" fillId="8" borderId="1" xfId="0" applyFont="1" applyFill="1" applyBorder="1"/>
    <xf numFmtId="43" fontId="69" fillId="8" borderId="1" xfId="1" applyFont="1" applyFill="1" applyBorder="1"/>
    <xf numFmtId="0" fontId="67" fillId="8" borderId="1" xfId="0" applyFont="1" applyFill="1" applyBorder="1"/>
    <xf numFmtId="166" fontId="68" fillId="8" borderId="1" xfId="0" applyNumberFormat="1" applyFont="1" applyFill="1" applyBorder="1"/>
    <xf numFmtId="0" fontId="64" fillId="0" borderId="0" xfId="0" applyFont="1"/>
    <xf numFmtId="169" fontId="11" fillId="0" borderId="5" xfId="0" applyNumberFormat="1" applyFont="1" applyBorder="1" applyAlignment="1">
      <alignment horizontal="center"/>
    </xf>
    <xf numFmtId="9" fontId="19" fillId="0" borderId="103" xfId="9" applyNumberFormat="1" applyFont="1" applyBorder="1" applyAlignment="1">
      <alignment horizontal="center" vertical="center"/>
    </xf>
    <xf numFmtId="9" fontId="19" fillId="0" borderId="104" xfId="9" applyNumberFormat="1" applyFont="1" applyBorder="1" applyAlignment="1">
      <alignment horizontal="center" vertical="center"/>
    </xf>
    <xf numFmtId="43" fontId="0" fillId="20" borderId="1" xfId="0" applyNumberFormat="1" applyFill="1" applyBorder="1"/>
    <xf numFmtId="2" fontId="0" fillId="6" borderId="1" xfId="0" applyNumberFormat="1" applyFill="1" applyBorder="1"/>
    <xf numFmtId="0" fontId="0" fillId="6" borderId="6" xfId="0" applyFill="1" applyBorder="1"/>
    <xf numFmtId="0" fontId="16" fillId="11" borderId="104" xfId="1" applyNumberFormat="1" applyFont="1" applyFill="1" applyBorder="1" applyAlignment="1">
      <alignment horizontal="center"/>
    </xf>
    <xf numFmtId="2" fontId="16" fillId="11" borderId="104" xfId="1" applyNumberFormat="1" applyFont="1" applyFill="1" applyBorder="1" applyAlignment="1">
      <alignment horizontal="center"/>
    </xf>
    <xf numFmtId="2" fontId="11" fillId="11" borderId="49" xfId="1" applyNumberFormat="1" applyFont="1" applyFill="1" applyBorder="1" applyAlignment="1">
      <alignment horizontal="center"/>
    </xf>
    <xf numFmtId="9" fontId="59" fillId="0" borderId="104" xfId="9" applyNumberFormat="1" applyFont="1" applyBorder="1" applyAlignment="1">
      <alignment horizontal="center" vertical="center"/>
    </xf>
    <xf numFmtId="2" fontId="4" fillId="0" borderId="26" xfId="0" applyNumberFormat="1" applyFont="1" applyBorder="1"/>
    <xf numFmtId="0" fontId="65" fillId="0" borderId="0" xfId="0" applyFont="1" applyAlignment="1">
      <alignment horizontal="center"/>
    </xf>
    <xf numFmtId="0" fontId="0" fillId="0" borderId="104" xfId="0" applyBorder="1"/>
    <xf numFmtId="14" fontId="0" fillId="0" borderId="104" xfId="0" applyNumberFormat="1" applyBorder="1"/>
    <xf numFmtId="9" fontId="59" fillId="0" borderId="105" xfId="9" applyNumberFormat="1" applyFont="1" applyBorder="1" applyAlignment="1">
      <alignment horizontal="center" vertical="center"/>
    </xf>
    <xf numFmtId="0" fontId="0" fillId="0" borderId="14" xfId="0" applyBorder="1"/>
    <xf numFmtId="0" fontId="0" fillId="0" borderId="90" xfId="0" applyBorder="1"/>
    <xf numFmtId="43" fontId="16" fillId="0" borderId="95" xfId="1" applyFont="1" applyBorder="1" applyAlignment="1">
      <alignment horizontal="center"/>
    </xf>
    <xf numFmtId="166" fontId="16" fillId="16" borderId="1" xfId="1" applyNumberFormat="1" applyFont="1" applyFill="1" applyBorder="1" applyAlignment="1">
      <alignment horizontal="center"/>
    </xf>
    <xf numFmtId="166" fontId="25" fillId="24" borderId="1" xfId="4" applyNumberFormat="1" applyFont="1" applyFill="1" applyBorder="1" applyAlignment="1">
      <alignment horizontal="center"/>
    </xf>
    <xf numFmtId="0" fontId="0" fillId="42" borderId="0" xfId="0" applyFill="1"/>
    <xf numFmtId="0" fontId="9" fillId="42" borderId="0" xfId="0" applyFont="1" applyFill="1"/>
    <xf numFmtId="0" fontId="0" fillId="43" borderId="32" xfId="0" applyFill="1" applyBorder="1"/>
    <xf numFmtId="0" fontId="0" fillId="43" borderId="33" xfId="0" applyFill="1" applyBorder="1" applyAlignment="1">
      <alignment wrapText="1"/>
    </xf>
    <xf numFmtId="0" fontId="38" fillId="43" borderId="33" xfId="0" applyFont="1" applyFill="1" applyBorder="1" applyAlignment="1">
      <alignment wrapText="1"/>
    </xf>
    <xf numFmtId="0" fontId="38" fillId="43" borderId="61" xfId="0" applyFont="1" applyFill="1" applyBorder="1" applyAlignment="1">
      <alignment wrapText="1"/>
    </xf>
    <xf numFmtId="0" fontId="2" fillId="44" borderId="34" xfId="0" applyFont="1" applyFill="1" applyBorder="1"/>
    <xf numFmtId="0" fontId="2" fillId="44" borderId="33" xfId="0" applyFont="1" applyFill="1" applyBorder="1"/>
    <xf numFmtId="0" fontId="2" fillId="44" borderId="33" xfId="0" applyFont="1" applyFill="1" applyBorder="1" applyAlignment="1">
      <alignment wrapText="1"/>
    </xf>
    <xf numFmtId="0" fontId="2" fillId="44" borderId="61" xfId="0" applyFont="1" applyFill="1" applyBorder="1" applyAlignment="1">
      <alignment wrapText="1"/>
    </xf>
    <xf numFmtId="14" fontId="0" fillId="0" borderId="63" xfId="0" applyNumberFormat="1" applyBorder="1"/>
    <xf numFmtId="0" fontId="0" fillId="45" borderId="16" xfId="0" applyFill="1" applyBorder="1" applyAlignment="1">
      <alignment wrapText="1"/>
    </xf>
    <xf numFmtId="0" fontId="0" fillId="46" borderId="1" xfId="0" applyFill="1" applyBorder="1" applyAlignment="1">
      <alignment wrapText="1"/>
    </xf>
    <xf numFmtId="0" fontId="0" fillId="47" borderId="8" xfId="0" applyFill="1" applyBorder="1"/>
    <xf numFmtId="0" fontId="0" fillId="48" borderId="16" xfId="0" applyFill="1" applyBorder="1"/>
    <xf numFmtId="0" fontId="0" fillId="42" borderId="1" xfId="0" applyFill="1" applyBorder="1"/>
    <xf numFmtId="0" fontId="0" fillId="47" borderId="1" xfId="0" applyFill="1" applyBorder="1"/>
    <xf numFmtId="0" fontId="0" fillId="49" borderId="8" xfId="0" applyFill="1" applyBorder="1"/>
    <xf numFmtId="0" fontId="0" fillId="39" borderId="1" xfId="0" applyFill="1" applyBorder="1" applyAlignment="1">
      <alignment wrapText="1"/>
    </xf>
    <xf numFmtId="0" fontId="0" fillId="39" borderId="1" xfId="0" applyFill="1" applyBorder="1"/>
    <xf numFmtId="14" fontId="0" fillId="0" borderId="77" xfId="0" applyNumberFormat="1" applyBorder="1"/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9" fontId="4" fillId="8" borderId="0" xfId="0" applyNumberFormat="1" applyFont="1" applyFill="1" applyAlignment="1">
      <alignment horizontal="center"/>
    </xf>
    <xf numFmtId="3" fontId="3" fillId="39" borderId="1" xfId="0" applyNumberFormat="1" applyFont="1" applyFill="1" applyBorder="1"/>
    <xf numFmtId="3" fontId="36" fillId="0" borderId="1" xfId="0" applyNumberFormat="1" applyFont="1" applyBorder="1"/>
    <xf numFmtId="0" fontId="72" fillId="0" borderId="0" xfId="0" applyFont="1" applyAlignment="1">
      <alignment horizontal="center" vertical="center"/>
    </xf>
    <xf numFmtId="0" fontId="73" fillId="0" borderId="1" xfId="0" applyFont="1" applyBorder="1"/>
    <xf numFmtId="43" fontId="0" fillId="0" borderId="104" xfId="0" applyNumberFormat="1" applyBorder="1"/>
    <xf numFmtId="0" fontId="38" fillId="39" borderId="49" xfId="0" applyFont="1" applyFill="1" applyBorder="1"/>
    <xf numFmtId="0" fontId="1" fillId="0" borderId="44" xfId="0" applyFont="1" applyBorder="1" applyAlignment="1">
      <alignment horizontal="center" vertical="center" wrapText="1"/>
    </xf>
    <xf numFmtId="0" fontId="1" fillId="0" borderId="0" xfId="4" applyFont="1"/>
    <xf numFmtId="43" fontId="1" fillId="0" borderId="0" xfId="1" applyFont="1"/>
    <xf numFmtId="43" fontId="1" fillId="0" borderId="0" xfId="1" applyFont="1" applyBorder="1"/>
    <xf numFmtId="3" fontId="1" fillId="0" borderId="68" xfId="0" applyNumberFormat="1" applyFont="1" applyBorder="1"/>
    <xf numFmtId="1" fontId="1" fillId="0" borderId="22" xfId="9" applyNumberFormat="1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2" fontId="0" fillId="0" borderId="1" xfId="0" applyNumberFormat="1" applyBorder="1"/>
    <xf numFmtId="174" fontId="16" fillId="11" borderId="104" xfId="1" applyNumberFormat="1" applyFont="1" applyFill="1" applyBorder="1" applyAlignment="1">
      <alignment horizontal="center"/>
    </xf>
    <xf numFmtId="0" fontId="0" fillId="36" borderId="5" xfId="0" applyFill="1" applyBorder="1"/>
    <xf numFmtId="0" fontId="0" fillId="36" borderId="27" xfId="0" applyFill="1" applyBorder="1"/>
    <xf numFmtId="0" fontId="0" fillId="0" borderId="106" xfId="0" applyBorder="1"/>
    <xf numFmtId="0" fontId="0" fillId="0" borderId="107" xfId="0" applyBorder="1"/>
    <xf numFmtId="0" fontId="19" fillId="7" borderId="117" xfId="4" applyFont="1" applyFill="1" applyBorder="1" applyAlignment="1">
      <alignment horizontal="center"/>
    </xf>
    <xf numFmtId="0" fontId="19" fillId="7" borderId="118" xfId="4" applyFont="1" applyFill="1" applyBorder="1" applyAlignment="1">
      <alignment horizontal="center"/>
    </xf>
    <xf numFmtId="0" fontId="70" fillId="0" borderId="104" xfId="0" applyFont="1" applyBorder="1"/>
    <xf numFmtId="0" fontId="36" fillId="0" borderId="5" xfId="0" applyFont="1" applyBorder="1"/>
    <xf numFmtId="1" fontId="36" fillId="0" borderId="22" xfId="0" applyNumberFormat="1" applyFont="1" applyBorder="1"/>
    <xf numFmtId="0" fontId="36" fillId="0" borderId="4" xfId="0" applyFont="1" applyBorder="1"/>
    <xf numFmtId="0" fontId="36" fillId="0" borderId="26" xfId="0" applyFont="1" applyBorder="1"/>
    <xf numFmtId="0" fontId="4" fillId="0" borderId="0" xfId="0" applyFont="1" applyAlignment="1">
      <alignment horizontal="right" vertical="top"/>
    </xf>
    <xf numFmtId="0" fontId="19" fillId="12" borderId="119" xfId="0" applyFont="1" applyFill="1" applyBorder="1" applyAlignment="1">
      <alignment horizontal="center" vertical="center" wrapText="1"/>
    </xf>
    <xf numFmtId="0" fontId="19" fillId="12" borderId="120" xfId="0" applyFont="1" applyFill="1" applyBorder="1" applyAlignment="1">
      <alignment horizontal="center" vertical="center" wrapText="1"/>
    </xf>
    <xf numFmtId="0" fontId="19" fillId="12" borderId="121" xfId="0" applyFont="1" applyFill="1" applyBorder="1" applyAlignment="1">
      <alignment horizontal="center" vertical="center" wrapText="1"/>
    </xf>
    <xf numFmtId="0" fontId="19" fillId="12" borderId="35" xfId="0" applyFont="1" applyFill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43" fontId="4" fillId="0" borderId="0" xfId="0" applyNumberFormat="1" applyFont="1"/>
    <xf numFmtId="43" fontId="16" fillId="0" borderId="122" xfId="1" applyFont="1" applyBorder="1" applyAlignment="1">
      <alignment horizontal="center"/>
    </xf>
    <xf numFmtId="1" fontId="36" fillId="0" borderId="5" xfId="0" applyNumberFormat="1" applyFont="1" applyBorder="1"/>
    <xf numFmtId="1" fontId="36" fillId="0" borderId="23" xfId="0" applyNumberFormat="1" applyFont="1" applyBorder="1"/>
    <xf numFmtId="0" fontId="36" fillId="0" borderId="104" xfId="0" applyFont="1" applyBorder="1"/>
    <xf numFmtId="0" fontId="36" fillId="0" borderId="104" xfId="0" applyFont="1" applyBorder="1" applyAlignment="1">
      <alignment vertical="center"/>
    </xf>
    <xf numFmtId="2" fontId="36" fillId="0" borderId="104" xfId="0" applyNumberFormat="1" applyFont="1" applyBorder="1" applyAlignment="1">
      <alignment vertical="center"/>
    </xf>
    <xf numFmtId="0" fontId="75" fillId="0" borderId="104" xfId="0" applyFont="1" applyBorder="1" applyAlignment="1">
      <alignment vertical="center"/>
    </xf>
    <xf numFmtId="0" fontId="16" fillId="0" borderId="104" xfId="0" applyFont="1" applyBorder="1" applyAlignment="1">
      <alignment horizontal="center"/>
    </xf>
    <xf numFmtId="43" fontId="16" fillId="0" borderId="104" xfId="1" applyFont="1" applyBorder="1" applyAlignment="1">
      <alignment horizontal="center"/>
    </xf>
    <xf numFmtId="43" fontId="16" fillId="0" borderId="104" xfId="1" applyFont="1" applyFill="1" applyBorder="1" applyAlignment="1">
      <alignment horizontal="center"/>
    </xf>
    <xf numFmtId="43" fontId="16" fillId="0" borderId="12" xfId="1" applyFont="1" applyBorder="1" applyAlignment="1">
      <alignment horizontal="center"/>
    </xf>
    <xf numFmtId="43" fontId="16" fillId="0" borderId="4" xfId="1" applyFont="1" applyBorder="1" applyAlignment="1">
      <alignment horizontal="center"/>
    </xf>
    <xf numFmtId="43" fontId="16" fillId="0" borderId="26" xfId="1" applyFont="1" applyBorder="1" applyAlignment="1">
      <alignment horizontal="center"/>
    </xf>
    <xf numFmtId="43" fontId="71" fillId="0" borderId="106" xfId="1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23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43" fontId="31" fillId="10" borderId="1" xfId="1" applyFont="1" applyFill="1" applyBorder="1" applyAlignment="1">
      <alignment horizontal="center"/>
    </xf>
    <xf numFmtId="167" fontId="16" fillId="0" borderId="1" xfId="0" applyNumberFormat="1" applyFont="1" applyBorder="1" applyAlignment="1">
      <alignment horizontal="center"/>
    </xf>
    <xf numFmtId="4" fontId="10" fillId="8" borderId="1" xfId="0" applyNumberFormat="1" applyFont="1" applyFill="1" applyBorder="1"/>
    <xf numFmtId="43" fontId="16" fillId="10" borderId="1" xfId="1" applyFont="1" applyFill="1" applyBorder="1" applyAlignment="1">
      <alignment horizontal="center"/>
    </xf>
    <xf numFmtId="169" fontId="11" fillId="16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/>
    <xf numFmtId="43" fontId="16" fillId="7" borderId="1" xfId="1" applyFont="1" applyFill="1" applyBorder="1" applyAlignment="1">
      <alignment horizontal="center"/>
    </xf>
    <xf numFmtId="166" fontId="16" fillId="10" borderId="1" xfId="1" applyNumberFormat="1" applyFont="1" applyFill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9" fontId="10" fillId="8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4" fontId="4" fillId="8" borderId="1" xfId="0" applyNumberFormat="1" applyFont="1" applyFill="1" applyBorder="1"/>
    <xf numFmtId="0" fontId="10" fillId="8" borderId="1" xfId="0" applyFont="1" applyFill="1" applyBorder="1"/>
    <xf numFmtId="43" fontId="10" fillId="8" borderId="1" xfId="0" applyNumberFormat="1" applyFont="1" applyFill="1" applyBorder="1" applyAlignment="1">
      <alignment horizontal="center"/>
    </xf>
    <xf numFmtId="4" fontId="10" fillId="40" borderId="63" xfId="0" applyNumberFormat="1" applyFont="1" applyFill="1" applyBorder="1"/>
    <xf numFmtId="2" fontId="38" fillId="16" borderId="49" xfId="1" applyNumberFormat="1" applyFont="1" applyFill="1" applyBorder="1"/>
    <xf numFmtId="0" fontId="72" fillId="0" borderId="104" xfId="0" applyFont="1" applyBorder="1" applyAlignment="1">
      <alignment horizontal="center" vertical="center"/>
    </xf>
    <xf numFmtId="0" fontId="0" fillId="0" borderId="124" xfId="0" applyBorder="1"/>
    <xf numFmtId="174" fontId="0" fillId="0" borderId="1" xfId="0" applyNumberFormat="1" applyBorder="1"/>
    <xf numFmtId="0" fontId="2" fillId="0" borderId="1" xfId="0" applyFont="1" applyBorder="1" applyAlignment="1">
      <alignment horizontal="center" vertical="center" wrapText="1"/>
    </xf>
    <xf numFmtId="0" fontId="2" fillId="0" borderId="10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" fontId="0" fillId="3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2" borderId="5" xfId="0" applyNumberFormat="1" applyFill="1" applyBorder="1" applyAlignment="1">
      <alignment horizontal="center" vertical="center"/>
    </xf>
    <xf numFmtId="1" fontId="0" fillId="32" borderId="22" xfId="0" applyNumberFormat="1" applyFill="1" applyBorder="1" applyAlignment="1">
      <alignment horizontal="center" vertical="center"/>
    </xf>
    <xf numFmtId="1" fontId="0" fillId="33" borderId="8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/>
    </xf>
    <xf numFmtId="3" fontId="0" fillId="0" borderId="38" xfId="0" applyNumberFormat="1" applyBorder="1" applyAlignment="1">
      <alignment horizontal="center" vertical="center" wrapText="1"/>
    </xf>
    <xf numFmtId="3" fontId="26" fillId="0" borderId="104" xfId="0" applyNumberFormat="1" applyFont="1" applyBorder="1"/>
    <xf numFmtId="0" fontId="26" fillId="0" borderId="104" xfId="0" applyFont="1" applyBorder="1"/>
    <xf numFmtId="0" fontId="25" fillId="0" borderId="36" xfId="0" applyFont="1" applyBorder="1"/>
    <xf numFmtId="0" fontId="25" fillId="0" borderId="5" xfId="0" applyFont="1" applyBorder="1"/>
    <xf numFmtId="18" fontId="25" fillId="0" borderId="5" xfId="0" applyNumberFormat="1" applyFont="1" applyBorder="1"/>
    <xf numFmtId="0" fontId="0" fillId="28" borderId="39" xfId="0" applyFill="1" applyBorder="1" applyAlignment="1">
      <alignment horizontal="center" vertical="center" wrapText="1"/>
    </xf>
    <xf numFmtId="0" fontId="0" fillId="28" borderId="22" xfId="0" applyFill="1" applyBorder="1" applyAlignment="1">
      <alignment horizontal="center" vertical="center" wrapText="1"/>
    </xf>
    <xf numFmtId="0" fontId="0" fillId="0" borderId="45" xfId="0" applyBorder="1"/>
    <xf numFmtId="0" fontId="26" fillId="0" borderId="97" xfId="0" applyFont="1" applyBorder="1"/>
    <xf numFmtId="0" fontId="25" fillId="23" borderId="104" xfId="0" applyFont="1" applyFill="1" applyBorder="1"/>
    <xf numFmtId="0" fontId="26" fillId="0" borderId="5" xfId="0" applyFont="1" applyBorder="1" applyAlignment="1">
      <alignment horizontal="center"/>
    </xf>
    <xf numFmtId="0" fontId="73" fillId="0" borderId="5" xfId="0" applyFont="1" applyBorder="1" applyAlignment="1">
      <alignment horizontal="center"/>
    </xf>
    <xf numFmtId="0" fontId="25" fillId="0" borderId="39" xfId="0" applyFont="1" applyBorder="1"/>
    <xf numFmtId="0" fontId="25" fillId="0" borderId="22" xfId="0" applyFont="1" applyBorder="1"/>
    <xf numFmtId="0" fontId="2" fillId="23" borderId="53" xfId="0" applyFont="1" applyFill="1" applyBorder="1" applyAlignment="1">
      <alignment horizontal="center" vertical="center" wrapText="1"/>
    </xf>
    <xf numFmtId="0" fontId="26" fillId="0" borderId="125" xfId="0" applyFont="1" applyBorder="1" applyAlignment="1">
      <alignment horizontal="center"/>
    </xf>
    <xf numFmtId="0" fontId="25" fillId="23" borderId="126" xfId="0" applyFont="1" applyFill="1" applyBorder="1"/>
    <xf numFmtId="43" fontId="71" fillId="0" borderId="104" xfId="1" applyFont="1" applyBorder="1" applyAlignment="1">
      <alignment horizontal="center"/>
    </xf>
    <xf numFmtId="0" fontId="16" fillId="0" borderId="106" xfId="0" applyFont="1" applyBorder="1" applyAlignment="1">
      <alignment horizontal="center"/>
    </xf>
    <xf numFmtId="43" fontId="71" fillId="0" borderId="107" xfId="1" applyFont="1" applyBorder="1" applyAlignment="1">
      <alignment horizontal="center"/>
    </xf>
    <xf numFmtId="175" fontId="4" fillId="0" borderId="0" xfId="0" applyNumberFormat="1" applyFont="1" applyAlignment="1">
      <alignment horizontal="center"/>
    </xf>
    <xf numFmtId="0" fontId="16" fillId="3" borderId="1" xfId="0" applyFont="1" applyFill="1" applyBorder="1" applyAlignment="1">
      <alignment horizontal="center" vertical="center" wrapText="1"/>
    </xf>
    <xf numFmtId="43" fontId="11" fillId="10" borderId="1" xfId="1" applyFont="1" applyFill="1" applyBorder="1" applyAlignment="1">
      <alignment horizontal="center" vertical="center" wrapText="1"/>
    </xf>
    <xf numFmtId="43" fontId="11" fillId="3" borderId="1" xfId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vertical="center" wrapText="1"/>
    </xf>
    <xf numFmtId="0" fontId="11" fillId="11" borderId="61" xfId="1" applyNumberFormat="1" applyFont="1" applyFill="1" applyBorder="1" applyAlignment="1">
      <alignment horizontal="center" vertical="center" wrapText="1"/>
    </xf>
    <xf numFmtId="0" fontId="30" fillId="3" borderId="32" xfId="1" applyNumberFormat="1" applyFont="1" applyFill="1" applyBorder="1" applyAlignment="1">
      <alignment horizontal="center" vertical="center" wrapText="1"/>
    </xf>
    <xf numFmtId="0" fontId="30" fillId="3" borderId="33" xfId="0" applyFont="1" applyFill="1" applyBorder="1" applyAlignment="1">
      <alignment horizontal="center" vertical="center" wrapText="1"/>
    </xf>
    <xf numFmtId="0" fontId="30" fillId="3" borderId="33" xfId="0" applyFont="1" applyFill="1" applyBorder="1" applyAlignment="1">
      <alignment horizontal="center" vertical="center"/>
    </xf>
    <xf numFmtId="0" fontId="30" fillId="3" borderId="34" xfId="0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0" fontId="11" fillId="3" borderId="61" xfId="0" applyFont="1" applyFill="1" applyBorder="1" applyAlignment="1">
      <alignment horizontal="center" vertical="center" wrapText="1"/>
    </xf>
    <xf numFmtId="43" fontId="15" fillId="11" borderId="38" xfId="1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38" xfId="0" applyFont="1" applyFill="1" applyBorder="1" applyAlignment="1">
      <alignment horizontal="center" vertical="center" wrapText="1"/>
    </xf>
    <xf numFmtId="0" fontId="11" fillId="9" borderId="38" xfId="0" applyFont="1" applyFill="1" applyBorder="1" applyAlignment="1">
      <alignment horizontal="center" vertical="center" wrapText="1"/>
    </xf>
    <xf numFmtId="0" fontId="16" fillId="41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3" fontId="11" fillId="17" borderId="1" xfId="11" applyFont="1" applyFill="1" applyBorder="1" applyAlignment="1">
      <alignment horizontal="center"/>
    </xf>
    <xf numFmtId="0" fontId="25" fillId="0" borderId="1" xfId="4" applyFont="1" applyBorder="1" applyAlignment="1">
      <alignment vertical="center"/>
    </xf>
    <xf numFmtId="166" fontId="3" fillId="11" borderId="5" xfId="1" applyNumberFormat="1" applyFont="1" applyFill="1" applyBorder="1" applyAlignment="1">
      <alignment vertical="center"/>
    </xf>
    <xf numFmtId="166" fontId="3" fillId="11" borderId="5" xfId="1" applyNumberFormat="1" applyFont="1" applyFill="1" applyBorder="1" applyAlignment="1">
      <alignment horizontal="center" vertical="center"/>
    </xf>
    <xf numFmtId="2" fontId="36" fillId="0" borderId="1" xfId="0" applyNumberFormat="1" applyFont="1" applyBorder="1"/>
    <xf numFmtId="2" fontId="36" fillId="0" borderId="4" xfId="0" applyNumberFormat="1" applyFont="1" applyBorder="1"/>
    <xf numFmtId="43" fontId="0" fillId="0" borderId="8" xfId="0" applyNumberFormat="1" applyBorder="1" applyAlignment="1">
      <alignment horizontal="right" vertical="center"/>
    </xf>
    <xf numFmtId="43" fontId="11" fillId="11" borderId="5" xfId="1" applyFont="1" applyFill="1" applyBorder="1" applyAlignment="1">
      <alignment horizontal="center"/>
    </xf>
    <xf numFmtId="174" fontId="10" fillId="8" borderId="30" xfId="0" applyNumberFormat="1" applyFont="1" applyFill="1" applyBorder="1" applyAlignment="1">
      <alignment horizontal="center"/>
    </xf>
    <xf numFmtId="0" fontId="4" fillId="0" borderId="4" xfId="0" applyFont="1" applyBorder="1"/>
    <xf numFmtId="43" fontId="4" fillId="0" borderId="4" xfId="1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14" fontId="4" fillId="0" borderId="90" xfId="0" applyNumberFormat="1" applyFont="1" applyBorder="1"/>
    <xf numFmtId="0" fontId="4" fillId="0" borderId="18" xfId="0" applyFont="1" applyBorder="1"/>
    <xf numFmtId="14" fontId="4" fillId="0" borderId="19" xfId="0" applyNumberFormat="1" applyFont="1" applyBorder="1"/>
    <xf numFmtId="0" fontId="4" fillId="0" borderId="18" xfId="0" applyFont="1" applyBorder="1" applyAlignment="1">
      <alignment horizontal="center"/>
    </xf>
    <xf numFmtId="0" fontId="41" fillId="0" borderId="4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3" fontId="25" fillId="24" borderId="1" xfId="4" applyNumberFormat="1" applyFont="1" applyFill="1" applyBorder="1" applyAlignment="1">
      <alignment horizontal="center"/>
    </xf>
    <xf numFmtId="166" fontId="0" fillId="0" borderId="1" xfId="1" applyNumberFormat="1" applyFont="1" applyBorder="1" applyAlignment="1"/>
    <xf numFmtId="1" fontId="0" fillId="38" borderId="1" xfId="0" applyNumberFormat="1" applyFill="1" applyBorder="1"/>
    <xf numFmtId="3" fontId="4" fillId="0" borderId="0" xfId="0" applyNumberFormat="1" applyFont="1" applyAlignment="1">
      <alignment horizontal="center"/>
    </xf>
    <xf numFmtId="0" fontId="53" fillId="0" borderId="48" xfId="0" applyFont="1" applyBorder="1" applyAlignment="1">
      <alignment horizontal="center"/>
    </xf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5" fillId="16" borderId="52" xfId="0" applyFont="1" applyFill="1" applyBorder="1" applyAlignment="1">
      <alignment horizontal="left" vertical="top" wrapText="1"/>
    </xf>
    <xf numFmtId="0" fontId="25" fillId="16" borderId="30" xfId="0" applyFont="1" applyFill="1" applyBorder="1" applyAlignment="1">
      <alignment horizontal="left" vertical="top" wrapText="1"/>
    </xf>
    <xf numFmtId="0" fontId="25" fillId="16" borderId="31" xfId="0" applyFont="1" applyFill="1" applyBorder="1" applyAlignment="1">
      <alignment horizontal="left" vertical="top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44" fontId="19" fillId="0" borderId="52" xfId="3" applyFont="1" applyBorder="1" applyAlignment="1">
      <alignment horizontal="center" vertical="center" wrapText="1"/>
    </xf>
    <xf numFmtId="44" fontId="0" fillId="0" borderId="31" xfId="3" applyFont="1" applyBorder="1" applyAlignment="1"/>
    <xf numFmtId="0" fontId="22" fillId="19" borderId="80" xfId="0" applyFont="1" applyFill="1" applyBorder="1" applyAlignment="1">
      <alignment horizontal="center" vertical="top"/>
    </xf>
    <xf numFmtId="0" fontId="22" fillId="19" borderId="30" xfId="0" applyFont="1" applyFill="1" applyBorder="1" applyAlignment="1">
      <alignment horizontal="center" vertical="top"/>
    </xf>
    <xf numFmtId="0" fontId="22" fillId="19" borderId="34" xfId="0" applyFont="1" applyFill="1" applyBorder="1" applyAlignment="1">
      <alignment horizontal="center" vertical="top"/>
    </xf>
    <xf numFmtId="0" fontId="22" fillId="20" borderId="80" xfId="0" applyFont="1" applyFill="1" applyBorder="1" applyAlignment="1">
      <alignment horizontal="center" vertical="top"/>
    </xf>
    <xf numFmtId="0" fontId="22" fillId="20" borderId="30" xfId="0" applyFont="1" applyFill="1" applyBorder="1" applyAlignment="1">
      <alignment horizontal="center" vertical="top"/>
    </xf>
    <xf numFmtId="0" fontId="22" fillId="20" borderId="34" xfId="0" applyFont="1" applyFill="1" applyBorder="1" applyAlignment="1">
      <alignment horizontal="center" vertical="top"/>
    </xf>
    <xf numFmtId="0" fontId="22" fillId="21" borderId="80" xfId="0" applyFont="1" applyFill="1" applyBorder="1" applyAlignment="1">
      <alignment horizontal="center" vertical="top"/>
    </xf>
    <xf numFmtId="0" fontId="22" fillId="21" borderId="30" xfId="0" applyFont="1" applyFill="1" applyBorder="1" applyAlignment="1">
      <alignment horizontal="center" vertical="top"/>
    </xf>
    <xf numFmtId="0" fontId="22" fillId="21" borderId="34" xfId="0" applyFont="1" applyFill="1" applyBorder="1" applyAlignment="1">
      <alignment horizontal="center" vertical="top"/>
    </xf>
    <xf numFmtId="0" fontId="22" fillId="0" borderId="80" xfId="0" applyFont="1" applyBorder="1" applyAlignment="1">
      <alignment horizontal="center" vertical="top"/>
    </xf>
    <xf numFmtId="0" fontId="22" fillId="0" borderId="30" xfId="0" applyFont="1" applyBorder="1" applyAlignment="1">
      <alignment horizontal="center" vertical="top"/>
    </xf>
    <xf numFmtId="0" fontId="22" fillId="0" borderId="34" xfId="0" applyFont="1" applyBorder="1" applyAlignment="1">
      <alignment horizontal="center" vertical="top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Font="1" applyFill="1" applyBorder="1" applyAlignment="1">
      <alignment horizontal="center"/>
    </xf>
    <xf numFmtId="0" fontId="4" fillId="32" borderId="30" xfId="0" applyFont="1" applyFill="1" applyBorder="1" applyAlignment="1">
      <alignment horizontal="center"/>
    </xf>
    <xf numFmtId="0" fontId="4" fillId="32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4" fillId="0" borderId="0" xfId="0" applyNumberFormat="1" applyFont="1" applyAlignment="1">
      <alignment horizontal="center"/>
    </xf>
    <xf numFmtId="0" fontId="45" fillId="0" borderId="0" xfId="0" applyFont="1" applyAlignment="1">
      <alignment horizontal="center"/>
    </xf>
    <xf numFmtId="169" fontId="47" fillId="16" borderId="0" xfId="0" applyNumberFormat="1" applyFont="1" applyFill="1" applyAlignment="1">
      <alignment horizontal="center" vertical="center"/>
    </xf>
    <xf numFmtId="0" fontId="43" fillId="2" borderId="52" xfId="0" applyFont="1" applyFill="1" applyBorder="1" applyAlignment="1">
      <alignment horizontal="center"/>
    </xf>
    <xf numFmtId="0" fontId="43" fillId="2" borderId="30" xfId="0" applyFont="1" applyFill="1" applyBorder="1" applyAlignment="1">
      <alignment horizontal="center"/>
    </xf>
    <xf numFmtId="0" fontId="43" fillId="2" borderId="31" xfId="0" applyFont="1" applyFill="1" applyBorder="1" applyAlignment="1">
      <alignment horizontal="center"/>
    </xf>
    <xf numFmtId="0" fontId="35" fillId="0" borderId="20" xfId="0" applyFont="1" applyBorder="1" applyAlignment="1">
      <alignment horizontal="center"/>
    </xf>
    <xf numFmtId="0" fontId="35" fillId="0" borderId="30" xfId="0" applyFont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42" fillId="0" borderId="52" xfId="0" applyFont="1" applyBorder="1" applyAlignment="1">
      <alignment horizontal="center"/>
    </xf>
    <xf numFmtId="0" fontId="42" fillId="0" borderId="30" xfId="0" applyFont="1" applyBorder="1" applyAlignment="1">
      <alignment horizontal="center"/>
    </xf>
    <xf numFmtId="0" fontId="42" fillId="0" borderId="31" xfId="0" applyFont="1" applyBorder="1" applyAlignment="1">
      <alignment horizontal="center"/>
    </xf>
    <xf numFmtId="0" fontId="57" fillId="31" borderId="52" xfId="0" applyFont="1" applyFill="1" applyBorder="1" applyAlignment="1">
      <alignment horizontal="center"/>
    </xf>
    <xf numFmtId="0" fontId="57" fillId="31" borderId="30" xfId="0" applyFont="1" applyFill="1" applyBorder="1" applyAlignment="1">
      <alignment horizontal="center"/>
    </xf>
    <xf numFmtId="0" fontId="57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0" fontId="2" fillId="28" borderId="54" xfId="0" applyFont="1" applyFill="1" applyBorder="1" applyAlignment="1">
      <alignment horizontal="center" vertical="center" wrapText="1"/>
    </xf>
    <xf numFmtId="0" fontId="2" fillId="28" borderId="87" xfId="0" applyFont="1" applyFill="1" applyBorder="1" applyAlignment="1">
      <alignment horizontal="center" vertical="center" wrapText="1"/>
    </xf>
    <xf numFmtId="0" fontId="36" fillId="11" borderId="52" xfId="0" applyFont="1" applyFill="1" applyBorder="1" applyAlignment="1">
      <alignment horizontal="center" vertical="center"/>
    </xf>
    <xf numFmtId="0" fontId="36" fillId="11" borderId="30" xfId="0" applyFont="1" applyFill="1" applyBorder="1" applyAlignment="1">
      <alignment horizontal="center" vertical="center"/>
    </xf>
    <xf numFmtId="0" fontId="36" fillId="11" borderId="31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78" xfId="0" applyFill="1" applyBorder="1" applyAlignment="1">
      <alignment horizontal="center" vertical="center" wrapText="1"/>
    </xf>
    <xf numFmtId="0" fontId="0" fillId="28" borderId="42" xfId="0" applyFill="1" applyBorder="1" applyAlignment="1">
      <alignment horizontal="center" vertical="center" wrapText="1"/>
    </xf>
    <xf numFmtId="0" fontId="0" fillId="28" borderId="17" xfId="0" applyFill="1" applyBorder="1" applyAlignment="1">
      <alignment horizontal="center" vertical="center" wrapText="1"/>
    </xf>
    <xf numFmtId="0" fontId="0" fillId="28" borderId="7" xfId="0" applyFill="1" applyBorder="1" applyAlignment="1">
      <alignment horizontal="center" vertical="center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center" wrapText="1"/>
    </xf>
    <xf numFmtId="0" fontId="0" fillId="28" borderId="19" xfId="0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7" fillId="26" borderId="13" xfId="0" applyFont="1" applyFill="1" applyBorder="1" applyAlignment="1">
      <alignment horizontal="center"/>
    </xf>
    <xf numFmtId="0" fontId="37" fillId="26" borderId="0" xfId="0" applyFont="1" applyFill="1" applyAlignment="1">
      <alignment horizontal="center"/>
    </xf>
    <xf numFmtId="0" fontId="19" fillId="7" borderId="81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109" xfId="4" applyFont="1" applyFill="1" applyBorder="1" applyAlignment="1">
      <alignment horizontal="center" vertical="center" wrapText="1"/>
    </xf>
    <xf numFmtId="0" fontId="19" fillId="7" borderId="110" xfId="4" applyFont="1" applyFill="1" applyBorder="1" applyAlignment="1">
      <alignment horizontal="center" vertical="center" wrapText="1"/>
    </xf>
    <xf numFmtId="0" fontId="19" fillId="7" borderId="111" xfId="4" applyFont="1" applyFill="1" applyBorder="1" applyAlignment="1">
      <alignment horizontal="center" vertical="center" wrapText="1"/>
    </xf>
    <xf numFmtId="0" fontId="19" fillId="7" borderId="112" xfId="4" applyFont="1" applyFill="1" applyBorder="1" applyAlignment="1">
      <alignment horizontal="center" vertical="center" wrapText="1"/>
    </xf>
    <xf numFmtId="0" fontId="19" fillId="7" borderId="113" xfId="4" applyFont="1" applyFill="1" applyBorder="1" applyAlignment="1">
      <alignment horizontal="center" vertical="center" wrapText="1"/>
    </xf>
    <xf numFmtId="0" fontId="19" fillId="7" borderId="114" xfId="4" applyFont="1" applyFill="1" applyBorder="1" applyAlignment="1">
      <alignment horizontal="center" vertical="center" wrapText="1"/>
    </xf>
    <xf numFmtId="0" fontId="19" fillId="7" borderId="115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116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7" fillId="8" borderId="26" xfId="0" applyFont="1" applyFill="1" applyBorder="1" applyAlignment="1">
      <alignment horizontal="center"/>
    </xf>
    <xf numFmtId="17" fontId="28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2" fillId="0" borderId="78" xfId="0" applyFont="1" applyBorder="1" applyAlignment="1">
      <alignment horizontal="center"/>
    </xf>
    <xf numFmtId="0" fontId="2" fillId="0" borderId="8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29" fillId="0" borderId="20" xfId="0" applyFont="1" applyBorder="1" applyAlignment="1"/>
    <xf numFmtId="0" fontId="29" fillId="0" borderId="35" xfId="0" applyFont="1" applyBorder="1" applyAlignment="1"/>
    <xf numFmtId="0" fontId="0" fillId="0" borderId="20" xfId="0" applyBorder="1" applyAlignment="1"/>
    <xf numFmtId="0" fontId="0" fillId="0" borderId="35" xfId="0" applyBorder="1" applyAlignment="1"/>
    <xf numFmtId="0" fontId="0" fillId="0" borderId="56" xfId="0" applyBorder="1" applyAlignment="1"/>
    <xf numFmtId="0" fontId="0" fillId="0" borderId="0" xfId="0" applyAlignment="1"/>
    <xf numFmtId="0" fontId="60" fillId="0" borderId="20" xfId="0" applyFont="1" applyBorder="1" applyAlignment="1"/>
    <xf numFmtId="0" fontId="60" fillId="0" borderId="35" xfId="0" applyFont="1" applyBorder="1" applyAlignment="1"/>
    <xf numFmtId="0" fontId="60" fillId="0" borderId="56" xfId="0" applyFont="1" applyBorder="1" applyAlignment="1"/>
    <xf numFmtId="0" fontId="60" fillId="0" borderId="0" xfId="0" applyFont="1" applyAlignment="1"/>
    <xf numFmtId="0" fontId="49" fillId="0" borderId="0" xfId="0" applyFont="1" applyAlignment="1">
      <alignment horizontal="center"/>
    </xf>
    <xf numFmtId="0" fontId="19" fillId="14" borderId="78" xfId="0" applyFont="1" applyFill="1" applyBorder="1" applyAlignment="1">
      <alignment horizontal="center" vertical="center"/>
    </xf>
    <xf numFmtId="0" fontId="19" fillId="14" borderId="77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1" fillId="0" borderId="48" xfId="0" applyNumberFormat="1" applyFont="1" applyBorder="1" applyAlignment="1">
      <alignment horizontal="center"/>
    </xf>
    <xf numFmtId="0" fontId="51" fillId="0" borderId="48" xfId="0" applyFont="1" applyBorder="1" applyAlignment="1">
      <alignment horizontal="center"/>
    </xf>
  </cellXfs>
  <cellStyles count="16">
    <cellStyle name="Comma" xfId="1" builtinId="3"/>
    <cellStyle name="Comma [0]" xfId="9" builtinId="6"/>
    <cellStyle name="Comma [0] 2" xfId="14" xr:uid="{71CB2E2F-2955-4284-82E2-C3A05D3BEFB9}"/>
    <cellStyle name="Comma 2" xfId="2" xr:uid="{00000000-0005-0000-0000-000002000000}"/>
    <cellStyle name="Comma 2 2" xfId="11" xr:uid="{E71805F7-33B8-4425-B898-93794F1D54B7}"/>
    <cellStyle name="Currency" xfId="3" builtinId="4"/>
    <cellStyle name="Currency [0]" xfId="10" builtinId="7"/>
    <cellStyle name="Currency [0] 2" xfId="15" xr:uid="{C477308E-D3B7-423D-866F-8FF1010413FC}"/>
    <cellStyle name="Normal" xfId="0" builtinId="0"/>
    <cellStyle name="Normal 2" xfId="4" xr:uid="{00000000-0005-0000-0000-000006000000}"/>
    <cellStyle name="Normal 2 2" xfId="12" xr:uid="{2A91E745-1510-4D22-98C0-9FC5A57A35CF}"/>
    <cellStyle name="Normal 2 4" xfId="5" xr:uid="{00000000-0005-0000-0000-000007000000}"/>
    <cellStyle name="Normal 2 4 2" xfId="13" xr:uid="{52CEC55B-2368-4408-9EB1-06C66F36FAEA}"/>
    <cellStyle name="Normal 3" xfId="7" xr:uid="{00000000-0005-0000-0000-000008000000}"/>
    <cellStyle name="Normal 4" xfId="8" xr:uid="{00000000-0005-0000-0000-000009000000}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heetMetadata" Target="metadata.xml"/><Relationship Id="rId30" Type="http://schemas.microsoft.com/office/2017/06/relationships/rdRichValueTypes" Target="richData/rdRichValueTypes.xml"/><Relationship Id="rId35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3130</c:v>
                </c:pt>
                <c:pt idx="1">
                  <c:v>3105</c:v>
                </c:pt>
                <c:pt idx="2">
                  <c:v>2910</c:v>
                </c:pt>
                <c:pt idx="3">
                  <c:v>3289</c:v>
                </c:pt>
                <c:pt idx="4">
                  <c:v>3146</c:v>
                </c:pt>
                <c:pt idx="5">
                  <c:v>3361</c:v>
                </c:pt>
                <c:pt idx="6">
                  <c:v>3380</c:v>
                </c:pt>
                <c:pt idx="7">
                  <c:v>3662</c:v>
                </c:pt>
                <c:pt idx="8">
                  <c:v>3399</c:v>
                </c:pt>
                <c:pt idx="9">
                  <c:v>3440</c:v>
                </c:pt>
                <c:pt idx="10">
                  <c:v>3696</c:v>
                </c:pt>
                <c:pt idx="11">
                  <c:v>3646</c:v>
                </c:pt>
                <c:pt idx="12">
                  <c:v>3967</c:v>
                </c:pt>
                <c:pt idx="13">
                  <c:v>3411</c:v>
                </c:pt>
                <c:pt idx="14">
                  <c:v>3878</c:v>
                </c:pt>
                <c:pt idx="15">
                  <c:v>3906</c:v>
                </c:pt>
                <c:pt idx="16">
                  <c:v>3764</c:v>
                </c:pt>
                <c:pt idx="17">
                  <c:v>3882</c:v>
                </c:pt>
                <c:pt idx="18">
                  <c:v>3745</c:v>
                </c:pt>
                <c:pt idx="19">
                  <c:v>3257</c:v>
                </c:pt>
                <c:pt idx="20">
                  <c:v>4495</c:v>
                </c:pt>
                <c:pt idx="21">
                  <c:v>3996</c:v>
                </c:pt>
                <c:pt idx="22">
                  <c:v>4192</c:v>
                </c:pt>
                <c:pt idx="23">
                  <c:v>4947</c:v>
                </c:pt>
                <c:pt idx="24">
                  <c:v>4917</c:v>
                </c:pt>
                <c:pt idx="25">
                  <c:v>4944</c:v>
                </c:pt>
                <c:pt idx="26">
                  <c:v>5000</c:v>
                </c:pt>
                <c:pt idx="27">
                  <c:v>4676</c:v>
                </c:pt>
                <c:pt idx="28">
                  <c:v>4892</c:v>
                </c:pt>
                <c:pt idx="29">
                  <c:v>4766</c:v>
                </c:pt>
                <c:pt idx="30">
                  <c:v>4562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83616"/>
        <c:axId val="126385152"/>
      </c:lineChart>
      <c:lineChart>
        <c:grouping val="stacked"/>
        <c:varyColors val="0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0.05</c:v>
                </c:pt>
                <c:pt idx="2">
                  <c:v>0.05</c:v>
                </c:pt>
                <c:pt idx="3">
                  <c:v>0.08</c:v>
                </c:pt>
                <c:pt idx="4">
                  <c:v>0.05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0.12</c:v>
                </c:pt>
                <c:pt idx="8">
                  <c:v>0.09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0.16</c:v>
                </c:pt>
                <c:pt idx="13">
                  <c:v>0.17</c:v>
                </c:pt>
                <c:pt idx="14">
                  <c:v>0.18</c:v>
                </c:pt>
                <c:pt idx="15">
                  <c:v>0.16</c:v>
                </c:pt>
                <c:pt idx="16">
                  <c:v>0.16</c:v>
                </c:pt>
                <c:pt idx="17">
                  <c:v>0.13</c:v>
                </c:pt>
                <c:pt idx="18">
                  <c:v>0.12</c:v>
                </c:pt>
                <c:pt idx="19">
                  <c:v>0.06</c:v>
                </c:pt>
                <c:pt idx="20">
                  <c:v>0.1</c:v>
                </c:pt>
                <c:pt idx="21">
                  <c:v>0.17</c:v>
                </c:pt>
                <c:pt idx="22">
                  <c:v>0.17</c:v>
                </c:pt>
                <c:pt idx="23">
                  <c:v>0.47</c:v>
                </c:pt>
                <c:pt idx="24">
                  <c:v>0.57999999999999996</c:v>
                </c:pt>
                <c:pt idx="25">
                  <c:v>0.43</c:v>
                </c:pt>
                <c:pt idx="26">
                  <c:v>0.39</c:v>
                </c:pt>
                <c:pt idx="27">
                  <c:v>0.43</c:v>
                </c:pt>
                <c:pt idx="28">
                  <c:v>0.53</c:v>
                </c:pt>
                <c:pt idx="29">
                  <c:v>0.61</c:v>
                </c:pt>
                <c:pt idx="30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03328"/>
        <c:axId val="126404864"/>
      </c:lineChart>
      <c:catAx>
        <c:axId val="126383616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5152"/>
        <c:crosses val="autoZero"/>
        <c:auto val="0"/>
        <c:lblAlgn val="ctr"/>
        <c:lblOffset val="100"/>
        <c:tickMarkSkip val="1"/>
        <c:noMultiLvlLbl val="0"/>
      </c:catAx>
      <c:valAx>
        <c:axId val="12638515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3616"/>
        <c:crosses val="autoZero"/>
        <c:crossBetween val="between"/>
      </c:valAx>
      <c:catAx>
        <c:axId val="12640332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26404864"/>
        <c:crosses val="autoZero"/>
        <c:auto val="0"/>
        <c:lblAlgn val="ctr"/>
        <c:lblOffset val="100"/>
        <c:noMultiLvlLbl val="0"/>
      </c:catAx>
      <c:valAx>
        <c:axId val="12640486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033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Graph'!$D$1</c:f>
              <c:strCache>
                <c:ptCount val="1"/>
                <c:pt idx="0">
                  <c:v>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0.00</c:formatCode>
                <c:ptCount val="31"/>
                <c:pt idx="0">
                  <c:v>6</c:v>
                </c:pt>
                <c:pt idx="1">
                  <c:v>5</c:v>
                </c:pt>
                <c:pt idx="2">
                  <c:v>3</c:v>
                </c:pt>
                <c:pt idx="3">
                  <c:v>8</c:v>
                </c:pt>
                <c:pt idx="4">
                  <c:v>6</c:v>
                </c:pt>
                <c:pt idx="5">
                  <c:v>9</c:v>
                </c:pt>
                <c:pt idx="6">
                  <c:v>9</c:v>
                </c:pt>
                <c:pt idx="7">
                  <c:v>12</c:v>
                </c:pt>
                <c:pt idx="8">
                  <c:v>10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15</c:v>
                </c:pt>
                <c:pt idx="16">
                  <c:v>15</c:v>
                </c:pt>
                <c:pt idx="17">
                  <c:v>13</c:v>
                </c:pt>
                <c:pt idx="18">
                  <c:v>10</c:v>
                </c:pt>
                <c:pt idx="19">
                  <c:v>6</c:v>
                </c:pt>
                <c:pt idx="20">
                  <c:v>9</c:v>
                </c:pt>
                <c:pt idx="21">
                  <c:v>14</c:v>
                </c:pt>
                <c:pt idx="22">
                  <c:v>14</c:v>
                </c:pt>
                <c:pt idx="23">
                  <c:v>37</c:v>
                </c:pt>
                <c:pt idx="24">
                  <c:v>46</c:v>
                </c:pt>
                <c:pt idx="25">
                  <c:v>35</c:v>
                </c:pt>
                <c:pt idx="26">
                  <c:v>31</c:v>
                </c:pt>
                <c:pt idx="27">
                  <c:v>34</c:v>
                </c:pt>
                <c:pt idx="28">
                  <c:v>42</c:v>
                </c:pt>
                <c:pt idx="29">
                  <c:v>48</c:v>
                </c:pt>
                <c:pt idx="30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13056"/>
        <c:axId val="126414848"/>
      </c:lineChart>
      <c:catAx>
        <c:axId val="12641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14848"/>
        <c:crosses val="autoZero"/>
        <c:auto val="1"/>
        <c:lblAlgn val="ctr"/>
        <c:lblOffset val="100"/>
        <c:noMultiLvlLbl val="0"/>
      </c:catAx>
      <c:valAx>
        <c:axId val="1264148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1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Graph'!$E$1</c:f>
              <c:strCache>
                <c:ptCount val="1"/>
                <c:pt idx="0">
                  <c:v>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0.00</c:formatCode>
                <c:ptCount val="31"/>
                <c:pt idx="0">
                  <c:v>6</c:v>
                </c:pt>
                <c:pt idx="1">
                  <c:v>5</c:v>
                </c:pt>
                <c:pt idx="2">
                  <c:v>3</c:v>
                </c:pt>
                <c:pt idx="3">
                  <c:v>8</c:v>
                </c:pt>
                <c:pt idx="4">
                  <c:v>6</c:v>
                </c:pt>
                <c:pt idx="5">
                  <c:v>9</c:v>
                </c:pt>
                <c:pt idx="6">
                  <c:v>9</c:v>
                </c:pt>
                <c:pt idx="7">
                  <c:v>12</c:v>
                </c:pt>
                <c:pt idx="8">
                  <c:v>10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15</c:v>
                </c:pt>
                <c:pt idx="16">
                  <c:v>15</c:v>
                </c:pt>
                <c:pt idx="17">
                  <c:v>13</c:v>
                </c:pt>
                <c:pt idx="18">
                  <c:v>10</c:v>
                </c:pt>
                <c:pt idx="19">
                  <c:v>6</c:v>
                </c:pt>
                <c:pt idx="20">
                  <c:v>9</c:v>
                </c:pt>
                <c:pt idx="21">
                  <c:v>14</c:v>
                </c:pt>
                <c:pt idx="22">
                  <c:v>14</c:v>
                </c:pt>
                <c:pt idx="23">
                  <c:v>37</c:v>
                </c:pt>
                <c:pt idx="24">
                  <c:v>46</c:v>
                </c:pt>
                <c:pt idx="25">
                  <c:v>35</c:v>
                </c:pt>
                <c:pt idx="26">
                  <c:v>31</c:v>
                </c:pt>
                <c:pt idx="27">
                  <c:v>34</c:v>
                </c:pt>
                <c:pt idx="28">
                  <c:v>42</c:v>
                </c:pt>
                <c:pt idx="29">
                  <c:v>48</c:v>
                </c:pt>
                <c:pt idx="30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976000"/>
        <c:axId val="126977536"/>
      </c:lineChart>
      <c:catAx>
        <c:axId val="12697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7536"/>
        <c:crosses val="autoZero"/>
        <c:auto val="1"/>
        <c:lblAlgn val="ctr"/>
        <c:lblOffset val="100"/>
        <c:noMultiLvlLbl val="0"/>
      </c:catAx>
      <c:valAx>
        <c:axId val="12697753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1268.81</c:v>
                </c:pt>
                <c:pt idx="1">
                  <c:v>1177.17</c:v>
                </c:pt>
                <c:pt idx="2">
                  <c:v>1293.22</c:v>
                </c:pt>
                <c:pt idx="3">
                  <c:v>1246.93</c:v>
                </c:pt>
                <c:pt idx="4">
                  <c:v>1325.89</c:v>
                </c:pt>
                <c:pt idx="5">
                  <c:v>1368.94</c:v>
                </c:pt>
                <c:pt idx="6">
                  <c:v>1527.6</c:v>
                </c:pt>
                <c:pt idx="7">
                  <c:v>1371.66</c:v>
                </c:pt>
                <c:pt idx="8">
                  <c:v>1347.33</c:v>
                </c:pt>
                <c:pt idx="9">
                  <c:v>1512.79</c:v>
                </c:pt>
                <c:pt idx="10">
                  <c:v>1485.24</c:v>
                </c:pt>
                <c:pt idx="11">
                  <c:v>1579.63</c:v>
                </c:pt>
                <c:pt idx="12">
                  <c:v>1342.22</c:v>
                </c:pt>
                <c:pt idx="13">
                  <c:v>1601.9099999999999</c:v>
                </c:pt>
                <c:pt idx="14">
                  <c:v>1526.57</c:v>
                </c:pt>
                <c:pt idx="15">
                  <c:v>1519.37</c:v>
                </c:pt>
                <c:pt idx="16">
                  <c:v>1531.62</c:v>
                </c:pt>
                <c:pt idx="17">
                  <c:v>1590.6599999999999</c:v>
                </c:pt>
                <c:pt idx="18">
                  <c:v>1280.58</c:v>
                </c:pt>
                <c:pt idx="19">
                  <c:v>1850.97</c:v>
                </c:pt>
                <c:pt idx="20">
                  <c:v>1693.83</c:v>
                </c:pt>
                <c:pt idx="21">
                  <c:v>1680.85</c:v>
                </c:pt>
                <c:pt idx="22">
                  <c:v>2112.66</c:v>
                </c:pt>
                <c:pt idx="23">
                  <c:v>2005.49</c:v>
                </c:pt>
                <c:pt idx="24">
                  <c:v>2169.16</c:v>
                </c:pt>
                <c:pt idx="25">
                  <c:v>2028.79</c:v>
                </c:pt>
                <c:pt idx="26">
                  <c:v>2053.59</c:v>
                </c:pt>
                <c:pt idx="27">
                  <c:v>2039.95</c:v>
                </c:pt>
                <c:pt idx="28">
                  <c:v>2039.77</c:v>
                </c:pt>
                <c:pt idx="29">
                  <c:v>1894.18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141888"/>
        <c:axId val="167429248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0</c:formatCode>
                <c:ptCount val="31"/>
                <c:pt idx="0">
                  <c:v>5</c:v>
                </c:pt>
                <c:pt idx="1">
                  <c:v>3</c:v>
                </c:pt>
                <c:pt idx="2">
                  <c:v>8</c:v>
                </c:pt>
                <c:pt idx="3">
                  <c:v>6</c:v>
                </c:pt>
                <c:pt idx="4">
                  <c:v>9</c:v>
                </c:pt>
                <c:pt idx="5">
                  <c:v>9</c:v>
                </c:pt>
                <c:pt idx="6">
                  <c:v>12</c:v>
                </c:pt>
                <c:pt idx="7">
                  <c:v>10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15</c:v>
                </c:pt>
                <c:pt idx="15">
                  <c:v>15</c:v>
                </c:pt>
                <c:pt idx="16">
                  <c:v>13</c:v>
                </c:pt>
                <c:pt idx="17">
                  <c:v>10</c:v>
                </c:pt>
                <c:pt idx="18">
                  <c:v>6</c:v>
                </c:pt>
                <c:pt idx="19">
                  <c:v>9</c:v>
                </c:pt>
                <c:pt idx="20">
                  <c:v>14</c:v>
                </c:pt>
                <c:pt idx="21">
                  <c:v>14</c:v>
                </c:pt>
                <c:pt idx="22">
                  <c:v>37</c:v>
                </c:pt>
                <c:pt idx="23">
                  <c:v>46</c:v>
                </c:pt>
                <c:pt idx="24">
                  <c:v>35</c:v>
                </c:pt>
                <c:pt idx="25">
                  <c:v>31</c:v>
                </c:pt>
                <c:pt idx="26">
                  <c:v>34</c:v>
                </c:pt>
                <c:pt idx="27">
                  <c:v>42</c:v>
                </c:pt>
                <c:pt idx="28">
                  <c:v>48</c:v>
                </c:pt>
                <c:pt idx="29">
                  <c:v>48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44288"/>
        <c:axId val="168457344"/>
      </c:lineChart>
      <c:catAx>
        <c:axId val="16514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29248"/>
        <c:crosses val="autoZero"/>
        <c:auto val="1"/>
        <c:lblAlgn val="ctr"/>
        <c:lblOffset val="100"/>
        <c:noMultiLvlLbl val="0"/>
      </c:catAx>
      <c:valAx>
        <c:axId val="16742924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41888"/>
        <c:crosses val="autoZero"/>
        <c:crossBetween val="between"/>
        <c:majorUnit val="200"/>
      </c:valAx>
      <c:catAx>
        <c:axId val="168444288"/>
        <c:scaling>
          <c:orientation val="minMax"/>
        </c:scaling>
        <c:delete val="1"/>
        <c:axPos val="b"/>
        <c:majorTickMark val="out"/>
        <c:minorTickMark val="none"/>
        <c:tickLblPos val="none"/>
        <c:crossAx val="168457344"/>
        <c:crosses val="autoZero"/>
        <c:auto val="1"/>
        <c:lblAlgn val="ctr"/>
        <c:lblOffset val="100"/>
        <c:noMultiLvlLbl val="0"/>
      </c:catAx>
      <c:valAx>
        <c:axId val="16845734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44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'[1]Utility summery'!$D$7:$D$38</c:f>
              <c:numCache>
                <c:formatCode>General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105088"/>
        <c:axId val="170142336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'[1]Utility summery'!$B$7:$B$37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15776"/>
        <c:axId val="115517312"/>
      </c:lineChart>
      <c:catAx>
        <c:axId val="17010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42336"/>
        <c:crosses val="autoZero"/>
        <c:auto val="1"/>
        <c:lblAlgn val="ctr"/>
        <c:lblOffset val="100"/>
        <c:noMultiLvlLbl val="0"/>
      </c:catAx>
      <c:valAx>
        <c:axId val="170142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05088"/>
        <c:crosses val="autoZero"/>
        <c:crossBetween val="between"/>
        <c:majorUnit val="200"/>
      </c:valAx>
      <c:catAx>
        <c:axId val="115515776"/>
        <c:scaling>
          <c:orientation val="minMax"/>
        </c:scaling>
        <c:delete val="1"/>
        <c:axPos val="b"/>
        <c:majorTickMark val="out"/>
        <c:minorTickMark val="none"/>
        <c:tickLblPos val="none"/>
        <c:crossAx val="115517312"/>
        <c:crosses val="autoZero"/>
        <c:auto val="1"/>
        <c:lblAlgn val="ctr"/>
        <c:lblOffset val="100"/>
        <c:noMultiLvlLbl val="0"/>
      </c:catAx>
      <c:valAx>
        <c:axId val="1155173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157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1396</c:v>
                </c:pt>
                <c:pt idx="1">
                  <c:v>1864.85</c:v>
                </c:pt>
                <c:pt idx="2" formatCode="0.00">
                  <c:v>1177.17</c:v>
                </c:pt>
                <c:pt idx="3">
                  <c:v>1492.73</c:v>
                </c:pt>
                <c:pt idx="4">
                  <c:v>1300.26</c:v>
                </c:pt>
                <c:pt idx="5">
                  <c:v>1393.2900000000002</c:v>
                </c:pt>
                <c:pt idx="6">
                  <c:v>1504.88</c:v>
                </c:pt>
                <c:pt idx="7">
                  <c:v>1611.1899999999998</c:v>
                </c:pt>
                <c:pt idx="8">
                  <c:v>1423.64</c:v>
                </c:pt>
                <c:pt idx="9">
                  <c:v>1795.98</c:v>
                </c:pt>
                <c:pt idx="10">
                  <c:v>1550.6599999999999</c:v>
                </c:pt>
                <c:pt idx="11">
                  <c:v>1553.4</c:v>
                </c:pt>
                <c:pt idx="12">
                  <c:v>1682.88</c:v>
                </c:pt>
                <c:pt idx="13">
                  <c:v>1536.72</c:v>
                </c:pt>
                <c:pt idx="14">
                  <c:v>1601.9099999999999</c:v>
                </c:pt>
                <c:pt idx="15" formatCode="_(* #,##0.00_);_(* \(#,##0.00\);_(* &quot;-&quot;??_);_(@_)">
                  <c:v>1703.33</c:v>
                </c:pt>
                <c:pt idx="16" formatCode="_(* #,##0.00_);_(* \(#,##0.00\);_(* &quot;-&quot;??_);_(@_)">
                  <c:v>1634.8999999999999</c:v>
                </c:pt>
                <c:pt idx="17">
                  <c:v>1878.62</c:v>
                </c:pt>
                <c:pt idx="18">
                  <c:v>1619.56</c:v>
                </c:pt>
                <c:pt idx="19">
                  <c:v>1529.07</c:v>
                </c:pt>
                <c:pt idx="20">
                  <c:v>1931.97</c:v>
                </c:pt>
                <c:pt idx="21">
                  <c:v>1983.26</c:v>
                </c:pt>
                <c:pt idx="22">
                  <c:v>1803.49</c:v>
                </c:pt>
                <c:pt idx="23">
                  <c:v>2112.66</c:v>
                </c:pt>
                <c:pt idx="24">
                  <c:v>2040.69</c:v>
                </c:pt>
                <c:pt idx="25">
                  <c:v>2450.14</c:v>
                </c:pt>
                <c:pt idx="26">
                  <c:v>2078.4499999999998</c:v>
                </c:pt>
                <c:pt idx="27">
                  <c:v>2240.08</c:v>
                </c:pt>
                <c:pt idx="28">
                  <c:v>2276.0700000000002</c:v>
                </c:pt>
                <c:pt idx="29">
                  <c:v>2074.0300000000002</c:v>
                </c:pt>
                <c:pt idx="30">
                  <c:v>2777.05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34016"/>
        <c:axId val="124935552"/>
      </c:lineChart>
      <c:catAx>
        <c:axId val="12493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5552"/>
        <c:crosses val="autoZero"/>
        <c:auto val="1"/>
        <c:lblAlgn val="ctr"/>
        <c:lblOffset val="200"/>
        <c:tickLblSkip val="1"/>
        <c:noMultiLvlLbl val="0"/>
      </c:catAx>
      <c:valAx>
        <c:axId val="124935552"/>
        <c:scaling>
          <c:orientation val="minMax"/>
          <c:max val="3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0.05</c:v>
                </c:pt>
                <c:pt idx="2">
                  <c:v>0.05</c:v>
                </c:pt>
                <c:pt idx="3">
                  <c:v>0.08</c:v>
                </c:pt>
                <c:pt idx="4">
                  <c:v>0.05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0.12</c:v>
                </c:pt>
                <c:pt idx="8">
                  <c:v>0.09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0.16</c:v>
                </c:pt>
                <c:pt idx="13">
                  <c:v>0.17</c:v>
                </c:pt>
                <c:pt idx="14">
                  <c:v>0.18</c:v>
                </c:pt>
                <c:pt idx="15">
                  <c:v>0.16</c:v>
                </c:pt>
                <c:pt idx="16">
                  <c:v>0.16</c:v>
                </c:pt>
                <c:pt idx="17">
                  <c:v>0.13</c:v>
                </c:pt>
                <c:pt idx="18">
                  <c:v>0.12</c:v>
                </c:pt>
                <c:pt idx="19">
                  <c:v>0.06</c:v>
                </c:pt>
                <c:pt idx="20">
                  <c:v>0.1</c:v>
                </c:pt>
                <c:pt idx="21">
                  <c:v>0.17</c:v>
                </c:pt>
                <c:pt idx="22">
                  <c:v>0.17</c:v>
                </c:pt>
                <c:pt idx="23">
                  <c:v>0.47</c:v>
                </c:pt>
                <c:pt idx="24">
                  <c:v>0.57999999999999996</c:v>
                </c:pt>
                <c:pt idx="25">
                  <c:v>0.43</c:v>
                </c:pt>
                <c:pt idx="26">
                  <c:v>0.39</c:v>
                </c:pt>
                <c:pt idx="27">
                  <c:v>0.43</c:v>
                </c:pt>
                <c:pt idx="28">
                  <c:v>0.53</c:v>
                </c:pt>
                <c:pt idx="29">
                  <c:v>0.61</c:v>
                </c:pt>
                <c:pt idx="30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56032"/>
        <c:axId val="124957824"/>
      </c:lineChart>
      <c:catAx>
        <c:axId val="12495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7824"/>
        <c:crosses val="autoZero"/>
        <c:auto val="1"/>
        <c:lblAlgn val="ctr"/>
        <c:lblOffset val="100"/>
        <c:noMultiLvlLbl val="0"/>
      </c:catAx>
      <c:valAx>
        <c:axId val="124957824"/>
        <c:scaling>
          <c:orientation val="minMax"/>
          <c:max val="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603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3130</c:v>
                </c:pt>
                <c:pt idx="1">
                  <c:v>3105</c:v>
                </c:pt>
                <c:pt idx="2">
                  <c:v>2910</c:v>
                </c:pt>
                <c:pt idx="3">
                  <c:v>3289</c:v>
                </c:pt>
                <c:pt idx="4">
                  <c:v>3146</c:v>
                </c:pt>
                <c:pt idx="5">
                  <c:v>3361</c:v>
                </c:pt>
                <c:pt idx="6">
                  <c:v>3380</c:v>
                </c:pt>
                <c:pt idx="7">
                  <c:v>3662</c:v>
                </c:pt>
                <c:pt idx="8">
                  <c:v>3399</c:v>
                </c:pt>
                <c:pt idx="9">
                  <c:v>3440</c:v>
                </c:pt>
                <c:pt idx="10">
                  <c:v>3696</c:v>
                </c:pt>
                <c:pt idx="11">
                  <c:v>3646</c:v>
                </c:pt>
                <c:pt idx="12">
                  <c:v>3967</c:v>
                </c:pt>
                <c:pt idx="13">
                  <c:v>3411</c:v>
                </c:pt>
                <c:pt idx="14">
                  <c:v>3878</c:v>
                </c:pt>
                <c:pt idx="15">
                  <c:v>3906</c:v>
                </c:pt>
                <c:pt idx="16">
                  <c:v>3764</c:v>
                </c:pt>
                <c:pt idx="17">
                  <c:v>3882</c:v>
                </c:pt>
                <c:pt idx="18">
                  <c:v>3745</c:v>
                </c:pt>
                <c:pt idx="19">
                  <c:v>3257</c:v>
                </c:pt>
                <c:pt idx="20">
                  <c:v>4495</c:v>
                </c:pt>
                <c:pt idx="21">
                  <c:v>3996</c:v>
                </c:pt>
                <c:pt idx="22">
                  <c:v>4192</c:v>
                </c:pt>
                <c:pt idx="23">
                  <c:v>4947</c:v>
                </c:pt>
                <c:pt idx="24">
                  <c:v>4917</c:v>
                </c:pt>
                <c:pt idx="25">
                  <c:v>4944</c:v>
                </c:pt>
                <c:pt idx="26">
                  <c:v>5000</c:v>
                </c:pt>
                <c:pt idx="27">
                  <c:v>4676</c:v>
                </c:pt>
                <c:pt idx="28">
                  <c:v>4892</c:v>
                </c:pt>
                <c:pt idx="29">
                  <c:v>4766</c:v>
                </c:pt>
                <c:pt idx="30">
                  <c:v>4562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74208"/>
        <c:axId val="124976128"/>
      </c:lineChart>
      <c:catAx>
        <c:axId val="12497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6128"/>
        <c:crosses val="autoZero"/>
        <c:auto val="1"/>
        <c:lblAlgn val="ctr"/>
        <c:lblOffset val="100"/>
        <c:noMultiLvlLbl val="0"/>
      </c:catAx>
      <c:valAx>
        <c:axId val="124976128"/>
        <c:scaling>
          <c:orientation val="minMax"/>
          <c:max val="5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4208"/>
        <c:crosses val="autoZero"/>
        <c:crossBetween val="between"/>
        <c:minorUnit val="2000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79</c:v>
                </c:pt>
                <c:pt idx="1">
                  <c:v>67</c:v>
                </c:pt>
                <c:pt idx="2">
                  <c:v>83</c:v>
                </c:pt>
                <c:pt idx="3">
                  <c:v>67</c:v>
                </c:pt>
                <c:pt idx="4">
                  <c:v>62</c:v>
                </c:pt>
                <c:pt idx="5">
                  <c:v>57</c:v>
                </c:pt>
                <c:pt idx="6">
                  <c:v>73</c:v>
                </c:pt>
                <c:pt idx="7">
                  <c:v>80</c:v>
                </c:pt>
                <c:pt idx="8">
                  <c:v>65</c:v>
                </c:pt>
                <c:pt idx="9">
                  <c:v>71</c:v>
                </c:pt>
                <c:pt idx="10">
                  <c:v>72</c:v>
                </c:pt>
                <c:pt idx="11">
                  <c:v>65</c:v>
                </c:pt>
                <c:pt idx="12">
                  <c:v>68</c:v>
                </c:pt>
                <c:pt idx="13">
                  <c:v>78</c:v>
                </c:pt>
                <c:pt idx="14">
                  <c:v>72</c:v>
                </c:pt>
                <c:pt idx="15">
                  <c:v>73</c:v>
                </c:pt>
                <c:pt idx="16">
                  <c:v>73</c:v>
                </c:pt>
                <c:pt idx="17">
                  <c:v>85</c:v>
                </c:pt>
                <c:pt idx="18">
                  <c:v>80</c:v>
                </c:pt>
                <c:pt idx="19">
                  <c:v>76</c:v>
                </c:pt>
                <c:pt idx="20">
                  <c:v>69</c:v>
                </c:pt>
                <c:pt idx="21">
                  <c:v>71</c:v>
                </c:pt>
                <c:pt idx="22">
                  <c:v>85</c:v>
                </c:pt>
                <c:pt idx="23">
                  <c:v>75</c:v>
                </c:pt>
                <c:pt idx="24">
                  <c:v>102</c:v>
                </c:pt>
                <c:pt idx="25">
                  <c:v>106</c:v>
                </c:pt>
                <c:pt idx="26">
                  <c:v>102</c:v>
                </c:pt>
                <c:pt idx="27">
                  <c:v>109</c:v>
                </c:pt>
                <c:pt idx="28">
                  <c:v>111</c:v>
                </c:pt>
                <c:pt idx="29">
                  <c:v>102</c:v>
                </c:pt>
                <c:pt idx="30">
                  <c:v>102</c:v>
                </c:pt>
                <c:pt idx="31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58432"/>
        <c:axId val="125076992"/>
      </c:lineChart>
      <c:catAx>
        <c:axId val="125058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76992"/>
        <c:crosses val="autoZero"/>
        <c:auto val="1"/>
        <c:lblAlgn val="ctr"/>
        <c:lblOffset val="100"/>
        <c:noMultiLvlLbl val="0"/>
      </c:catAx>
      <c:valAx>
        <c:axId val="125076992"/>
        <c:scaling>
          <c:orientation val="minMax"/>
          <c:max val="250"/>
          <c:min val="50"/>
        </c:scaling>
        <c:delete val="0"/>
        <c:axPos val="l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58432"/>
        <c:crosses val="autoZero"/>
        <c:crossBetween val="between"/>
        <c:majorUnit val="50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101.24399999997696</c:v>
                </c:pt>
                <c:pt idx="1">
                  <c:v>70.311999999982078</c:v>
                </c:pt>
                <c:pt idx="2">
                  <c:v>59.576000000035862</c:v>
                </c:pt>
                <c:pt idx="3">
                  <c:v>61.511999999982073</c:v>
                </c:pt>
                <c:pt idx="4">
                  <c:v>87.340000000025611</c:v>
                </c:pt>
                <c:pt idx="5">
                  <c:v>107.49199999996928</c:v>
                </c:pt>
                <c:pt idx="6">
                  <c:v>90.68400000000257</c:v>
                </c:pt>
                <c:pt idx="7">
                  <c:v>99.879999999987206</c:v>
                </c:pt>
                <c:pt idx="8">
                  <c:v>108.98800000001793</c:v>
                </c:pt>
                <c:pt idx="9">
                  <c:v>110.00000000000001</c:v>
                </c:pt>
                <c:pt idx="10">
                  <c:v>105.37999999998721</c:v>
                </c:pt>
                <c:pt idx="11">
                  <c:v>106.65600000002306</c:v>
                </c:pt>
                <c:pt idx="12">
                  <c:v>108.02000000001281</c:v>
                </c:pt>
                <c:pt idx="13">
                  <c:v>103.66399999998977</c:v>
                </c:pt>
                <c:pt idx="14">
                  <c:v>98.427999999979519</c:v>
                </c:pt>
                <c:pt idx="15">
                  <c:v>105.02799999997951</c:v>
                </c:pt>
                <c:pt idx="16">
                  <c:v>101.72800000004355</c:v>
                </c:pt>
                <c:pt idx="17">
                  <c:v>107.27199999995646</c:v>
                </c:pt>
                <c:pt idx="18">
                  <c:v>94.468000000005134</c:v>
                </c:pt>
                <c:pt idx="19">
                  <c:v>87.868000000005125</c:v>
                </c:pt>
                <c:pt idx="20">
                  <c:v>113.43199999999489</c:v>
                </c:pt>
                <c:pt idx="21">
                  <c:v>114.44400000004099</c:v>
                </c:pt>
                <c:pt idx="22">
                  <c:v>114.09199999996927</c:v>
                </c:pt>
                <c:pt idx="23">
                  <c:v>117.92000000001282</c:v>
                </c:pt>
                <c:pt idx="24">
                  <c:v>129.40400000001537</c:v>
                </c:pt>
                <c:pt idx="25">
                  <c:v>115.76399999998976</c:v>
                </c:pt>
                <c:pt idx="26">
                  <c:v>127.33600000001026</c:v>
                </c:pt>
                <c:pt idx="27">
                  <c:v>126.71999999994878</c:v>
                </c:pt>
                <c:pt idx="28">
                  <c:v>135.38800000001794</c:v>
                </c:pt>
                <c:pt idx="29">
                  <c:v>157.30000000000001</c:v>
                </c:pt>
                <c:pt idx="30">
                  <c:v>163.02000000001283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89664"/>
        <c:axId val="125091200"/>
      </c:lineChart>
      <c:catAx>
        <c:axId val="12508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91200"/>
        <c:crosses val="autoZero"/>
        <c:auto val="1"/>
        <c:lblAlgn val="ctr"/>
        <c:lblOffset val="100"/>
        <c:noMultiLvlLbl val="0"/>
      </c:catAx>
      <c:valAx>
        <c:axId val="125091200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896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56768"/>
        <c:axId val="125458304"/>
      </c:lineChart>
      <c:catAx>
        <c:axId val="12545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58304"/>
        <c:crosses val="autoZero"/>
        <c:auto val="1"/>
        <c:lblAlgn val="ctr"/>
        <c:lblOffset val="100"/>
        <c:noMultiLvlLbl val="0"/>
      </c:catAx>
      <c:valAx>
        <c:axId val="125458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5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Diesel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_(* #,##0.00_);_(* \(#,##0.00\);_(* "-"??_);_(@_)</c:formatCode>
                <c:ptCount val="31"/>
                <c:pt idx="0">
                  <c:v>1340.69</c:v>
                </c:pt>
                <c:pt idx="1">
                  <c:v>1268.81</c:v>
                </c:pt>
                <c:pt idx="2">
                  <c:v>1177.17</c:v>
                </c:pt>
                <c:pt idx="3">
                  <c:v>1293.22</c:v>
                </c:pt>
                <c:pt idx="4">
                  <c:v>1246.93</c:v>
                </c:pt>
                <c:pt idx="5">
                  <c:v>1325.89</c:v>
                </c:pt>
                <c:pt idx="6">
                  <c:v>1368.94</c:v>
                </c:pt>
                <c:pt idx="7">
                  <c:v>1527.6</c:v>
                </c:pt>
                <c:pt idx="8">
                  <c:v>1371.66</c:v>
                </c:pt>
                <c:pt idx="9">
                  <c:v>1347.33</c:v>
                </c:pt>
                <c:pt idx="10">
                  <c:v>1512.79</c:v>
                </c:pt>
                <c:pt idx="11">
                  <c:v>1485.24</c:v>
                </c:pt>
                <c:pt idx="12">
                  <c:v>1579.63</c:v>
                </c:pt>
                <c:pt idx="13">
                  <c:v>1342.22</c:v>
                </c:pt>
                <c:pt idx="14">
                  <c:v>1601.9099999999999</c:v>
                </c:pt>
                <c:pt idx="15">
                  <c:v>1526.57</c:v>
                </c:pt>
                <c:pt idx="16">
                  <c:v>1519.37</c:v>
                </c:pt>
                <c:pt idx="17">
                  <c:v>1531.62</c:v>
                </c:pt>
                <c:pt idx="18">
                  <c:v>1590.6599999999999</c:v>
                </c:pt>
                <c:pt idx="19">
                  <c:v>1280.58</c:v>
                </c:pt>
                <c:pt idx="20">
                  <c:v>1850.97</c:v>
                </c:pt>
                <c:pt idx="21">
                  <c:v>1693.83</c:v>
                </c:pt>
                <c:pt idx="22">
                  <c:v>1680.85</c:v>
                </c:pt>
                <c:pt idx="23">
                  <c:v>2112.66</c:v>
                </c:pt>
                <c:pt idx="24">
                  <c:v>2005.49</c:v>
                </c:pt>
                <c:pt idx="25">
                  <c:v>2169.16</c:v>
                </c:pt>
                <c:pt idx="26">
                  <c:v>2028.79</c:v>
                </c:pt>
                <c:pt idx="27">
                  <c:v>2053.59</c:v>
                </c:pt>
                <c:pt idx="28">
                  <c:v>2039.95</c:v>
                </c:pt>
                <c:pt idx="29">
                  <c:v>2039.77</c:v>
                </c:pt>
                <c:pt idx="30">
                  <c:v>1894.18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78400"/>
        <c:axId val="125479936"/>
      </c:lineChart>
      <c:catAx>
        <c:axId val="12547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79936"/>
        <c:crosses val="autoZero"/>
        <c:auto val="1"/>
        <c:lblAlgn val="ctr"/>
        <c:lblOffset val="100"/>
        <c:noMultiLvlLbl val="0"/>
      </c:catAx>
      <c:valAx>
        <c:axId val="12547993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7840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marker>
            <c:symbol val="triangle"/>
            <c:size val="5"/>
          </c:marker>
          <c:dLbls>
            <c:spPr>
              <a:noFill/>
              <a:ln>
                <a:solidFill>
                  <a:srgbClr val="000000"/>
                </a:solidFill>
                <a:prstDash val="solid"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49184"/>
        <c:axId val="125555456"/>
      </c:lineChart>
      <c:catAx>
        <c:axId val="125549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55456"/>
        <c:crosses val="autoZero"/>
        <c:auto val="1"/>
        <c:lblAlgn val="ctr"/>
        <c:lblOffset val="100"/>
        <c:noMultiLvlLbl val="0"/>
      </c:catAx>
      <c:valAx>
        <c:axId val="125555456"/>
        <c:scaling>
          <c:orientation val="minMax"/>
          <c:max val="5000"/>
          <c:min val="3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49184"/>
        <c:crosses val="autoZero"/>
        <c:crossBetween val="between"/>
        <c:majorUnit val="500"/>
        <c:minorUnit val="100"/>
      </c:valAx>
      <c:dTable>
        <c:showHorzBorder val="1"/>
        <c:showVertBorder val="1"/>
        <c:showOutline val="1"/>
        <c:showKeys val="1"/>
        <c:spPr>
          <a:ln>
            <a:solidFill>
              <a:srgbClr val="FF0000"/>
            </a:solidFill>
            <a:prstDash val="solid"/>
          </a:ln>
        </c:spPr>
      </c:dTable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101.24399999997696</c:v>
                </c:pt>
                <c:pt idx="1">
                  <c:v>70.311999999982078</c:v>
                </c:pt>
                <c:pt idx="2">
                  <c:v>59.576000000035862</c:v>
                </c:pt>
                <c:pt idx="3">
                  <c:v>61.511999999982073</c:v>
                </c:pt>
                <c:pt idx="4">
                  <c:v>87.340000000025611</c:v>
                </c:pt>
                <c:pt idx="5">
                  <c:v>107.49199999996928</c:v>
                </c:pt>
                <c:pt idx="6">
                  <c:v>90.68400000000257</c:v>
                </c:pt>
                <c:pt idx="7">
                  <c:v>99.879999999987206</c:v>
                </c:pt>
                <c:pt idx="8">
                  <c:v>108.98800000001793</c:v>
                </c:pt>
                <c:pt idx="9">
                  <c:v>110.00000000000001</c:v>
                </c:pt>
                <c:pt idx="10">
                  <c:v>105.37999999998721</c:v>
                </c:pt>
                <c:pt idx="11">
                  <c:v>106.65600000002306</c:v>
                </c:pt>
                <c:pt idx="12">
                  <c:v>108.02000000001281</c:v>
                </c:pt>
                <c:pt idx="13">
                  <c:v>103.66399999998977</c:v>
                </c:pt>
                <c:pt idx="14">
                  <c:v>98.427999999979519</c:v>
                </c:pt>
                <c:pt idx="15">
                  <c:v>105.02799999997951</c:v>
                </c:pt>
                <c:pt idx="16">
                  <c:v>101.72800000004355</c:v>
                </c:pt>
                <c:pt idx="17">
                  <c:v>107.27199999995646</c:v>
                </c:pt>
                <c:pt idx="18">
                  <c:v>94.468000000005134</c:v>
                </c:pt>
                <c:pt idx="19">
                  <c:v>87.868000000005125</c:v>
                </c:pt>
                <c:pt idx="20">
                  <c:v>113.43199999999489</c:v>
                </c:pt>
                <c:pt idx="21">
                  <c:v>114.44400000004099</c:v>
                </c:pt>
                <c:pt idx="22">
                  <c:v>114.09199999996927</c:v>
                </c:pt>
                <c:pt idx="23">
                  <c:v>117.92000000001282</c:v>
                </c:pt>
                <c:pt idx="24">
                  <c:v>129.40400000001537</c:v>
                </c:pt>
                <c:pt idx="25">
                  <c:v>115.76399999998976</c:v>
                </c:pt>
                <c:pt idx="26">
                  <c:v>127.33600000001026</c:v>
                </c:pt>
                <c:pt idx="27">
                  <c:v>126.71999999994878</c:v>
                </c:pt>
                <c:pt idx="28">
                  <c:v>135.38800000001794</c:v>
                </c:pt>
                <c:pt idx="29">
                  <c:v>157.30000000000001</c:v>
                </c:pt>
                <c:pt idx="30">
                  <c:v>163.02000000001283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99392"/>
        <c:axId val="130300928"/>
      </c:lineChart>
      <c:lineChart>
        <c:grouping val="stacked"/>
        <c:varyColors val="0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5.1900000000000002E-2</c:v>
                </c:pt>
                <c:pt idx="1">
                  <c:v>0.05</c:v>
                </c:pt>
                <c:pt idx="2">
                  <c:v>0.05</c:v>
                </c:pt>
                <c:pt idx="3">
                  <c:v>0.08</c:v>
                </c:pt>
                <c:pt idx="4">
                  <c:v>0.05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0.12</c:v>
                </c:pt>
                <c:pt idx="8">
                  <c:v>0.09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0.16</c:v>
                </c:pt>
                <c:pt idx="13">
                  <c:v>0.17</c:v>
                </c:pt>
                <c:pt idx="14">
                  <c:v>0.18</c:v>
                </c:pt>
                <c:pt idx="15">
                  <c:v>0.16</c:v>
                </c:pt>
                <c:pt idx="16">
                  <c:v>0.16</c:v>
                </c:pt>
                <c:pt idx="17">
                  <c:v>0.13</c:v>
                </c:pt>
                <c:pt idx="18">
                  <c:v>0.12</c:v>
                </c:pt>
                <c:pt idx="19">
                  <c:v>0.06</c:v>
                </c:pt>
                <c:pt idx="20">
                  <c:v>0.1</c:v>
                </c:pt>
                <c:pt idx="21">
                  <c:v>0.17</c:v>
                </c:pt>
                <c:pt idx="22">
                  <c:v>0.17</c:v>
                </c:pt>
                <c:pt idx="23">
                  <c:v>0.47</c:v>
                </c:pt>
                <c:pt idx="24">
                  <c:v>0.57999999999999996</c:v>
                </c:pt>
                <c:pt idx="25">
                  <c:v>0.43</c:v>
                </c:pt>
                <c:pt idx="26">
                  <c:v>0.39</c:v>
                </c:pt>
                <c:pt idx="27">
                  <c:v>0.43</c:v>
                </c:pt>
                <c:pt idx="28">
                  <c:v>0.53</c:v>
                </c:pt>
                <c:pt idx="29">
                  <c:v>0.61</c:v>
                </c:pt>
                <c:pt idx="30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6816"/>
        <c:axId val="130308352"/>
      </c:lineChart>
      <c:catAx>
        <c:axId val="13029939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0928"/>
        <c:crosses val="autoZero"/>
        <c:auto val="0"/>
        <c:lblAlgn val="ctr"/>
        <c:lblOffset val="100"/>
        <c:tickMarkSkip val="1"/>
        <c:noMultiLvlLbl val="0"/>
      </c:catAx>
      <c:valAx>
        <c:axId val="13030092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99392"/>
        <c:crosses val="autoZero"/>
        <c:crossBetween val="between"/>
      </c:valAx>
      <c:catAx>
        <c:axId val="130306816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30308352"/>
        <c:crosses val="autoZero"/>
        <c:auto val="0"/>
        <c:lblAlgn val="ctr"/>
        <c:lblOffset val="100"/>
        <c:noMultiLvlLbl val="0"/>
      </c:catAx>
      <c:valAx>
        <c:axId val="1303083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6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[2]LPG_Graph!$B$1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[1]LPG_Graph!$A$2:$A$32</c:f>
              <c:numCache>
                <c:formatCode>General</c:formatCode>
                <c:ptCount val="31"/>
              </c:numCache>
            </c:numRef>
          </c:cat>
          <c:val>
            <c:numRef>
              <c:f>[1]LPG_Graph!$B$2:$B$32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39584"/>
        <c:axId val="130341120"/>
      </c:lineChart>
      <c:lineChart>
        <c:grouping val="stacked"/>
        <c:varyColors val="0"/>
        <c:ser>
          <c:idx val="1"/>
          <c:order val="1"/>
          <c:tx>
            <c:strRef>
              <c:f>[2]LPG_Graph!$C$1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[1]LPG_Graph!$A$2:$A$32</c:f>
              <c:numCache>
                <c:formatCode>General</c:formatCode>
                <c:ptCount val="31"/>
              </c:numCache>
            </c:numRef>
          </c:cat>
          <c:val>
            <c:numRef>
              <c:f>[1]LPG_Graph!$C$2:$C$32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42912"/>
        <c:axId val="130344448"/>
      </c:lineChart>
      <c:catAx>
        <c:axId val="13033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1120"/>
        <c:crosses val="autoZero"/>
        <c:auto val="0"/>
        <c:lblAlgn val="ctr"/>
        <c:lblOffset val="100"/>
        <c:tickMarkSkip val="1"/>
        <c:noMultiLvlLbl val="0"/>
      </c:catAx>
      <c:valAx>
        <c:axId val="130341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39584"/>
        <c:crosses val="autoZero"/>
        <c:crossBetween val="between"/>
      </c:valAx>
      <c:catAx>
        <c:axId val="130342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30344448"/>
        <c:crosses val="autoZero"/>
        <c:auto val="0"/>
        <c:lblAlgn val="ctr"/>
        <c:lblOffset val="100"/>
        <c:noMultiLvlLbl val="0"/>
      </c:catAx>
      <c:valAx>
        <c:axId val="130344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2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67040"/>
        <c:axId val="154977024"/>
      </c:lineChart>
      <c:lineChart>
        <c:grouping val="stacked"/>
        <c:varyColors val="0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5.1900000000000002E-2</c:v>
                </c:pt>
                <c:pt idx="1">
                  <c:v>0.05</c:v>
                </c:pt>
                <c:pt idx="2">
                  <c:v>0.05</c:v>
                </c:pt>
                <c:pt idx="3">
                  <c:v>0.08</c:v>
                </c:pt>
                <c:pt idx="4">
                  <c:v>0.05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0.12</c:v>
                </c:pt>
                <c:pt idx="8">
                  <c:v>0.09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0.16</c:v>
                </c:pt>
                <c:pt idx="13">
                  <c:v>0.17</c:v>
                </c:pt>
                <c:pt idx="14">
                  <c:v>0.18</c:v>
                </c:pt>
                <c:pt idx="15">
                  <c:v>0.16</c:v>
                </c:pt>
                <c:pt idx="16">
                  <c:v>0.16</c:v>
                </c:pt>
                <c:pt idx="17">
                  <c:v>0.13</c:v>
                </c:pt>
                <c:pt idx="18">
                  <c:v>0.12</c:v>
                </c:pt>
                <c:pt idx="19">
                  <c:v>0.06</c:v>
                </c:pt>
                <c:pt idx="20">
                  <c:v>0.1</c:v>
                </c:pt>
                <c:pt idx="21">
                  <c:v>0.17</c:v>
                </c:pt>
                <c:pt idx="22">
                  <c:v>0.17</c:v>
                </c:pt>
                <c:pt idx="23">
                  <c:v>0.47</c:v>
                </c:pt>
                <c:pt idx="24">
                  <c:v>0.57999999999999996</c:v>
                </c:pt>
                <c:pt idx="25">
                  <c:v>0.43</c:v>
                </c:pt>
                <c:pt idx="26">
                  <c:v>0.39</c:v>
                </c:pt>
                <c:pt idx="27">
                  <c:v>0.43</c:v>
                </c:pt>
                <c:pt idx="28">
                  <c:v>0.53</c:v>
                </c:pt>
                <c:pt idx="29">
                  <c:v>0.61</c:v>
                </c:pt>
                <c:pt idx="30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78560"/>
        <c:axId val="154980352"/>
      </c:lineChart>
      <c:catAx>
        <c:axId val="154967040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7024"/>
        <c:crosses val="autoZero"/>
        <c:auto val="0"/>
        <c:lblAlgn val="ctr"/>
        <c:lblOffset val="100"/>
        <c:tickMarkSkip val="1"/>
        <c:noMultiLvlLbl val="0"/>
      </c:catAx>
      <c:valAx>
        <c:axId val="15497702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67040"/>
        <c:crosses val="autoZero"/>
        <c:crossBetween val="between"/>
      </c:valAx>
      <c:catAx>
        <c:axId val="154978560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54980352"/>
        <c:crosses val="autoZero"/>
        <c:auto val="0"/>
        <c:lblAlgn val="ctr"/>
        <c:lblOffset val="100"/>
        <c:noMultiLvlLbl val="0"/>
      </c:catAx>
      <c:valAx>
        <c:axId val="1549803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8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'[2]Water_Graph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'[1]Water_Graph '!$A$2:$A$32</c:f>
              <c:numCache>
                <c:formatCode>General</c:formatCode>
                <c:ptCount val="31"/>
              </c:numCache>
            </c:numRef>
          </c:cat>
          <c:val>
            <c:numRef>
              <c:f>'[1]Water_Graph 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82080"/>
        <c:axId val="155996160"/>
      </c:lineChart>
      <c:lineChart>
        <c:grouping val="stacked"/>
        <c:varyColors val="0"/>
        <c:ser>
          <c:idx val="1"/>
          <c:order val="1"/>
          <c:tx>
            <c:strRef>
              <c:f>'[2]Water_Graph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'[1]Water_Graph '!$A$2:$A$32</c:f>
              <c:numCache>
                <c:formatCode>General</c:formatCode>
                <c:ptCount val="31"/>
              </c:numCache>
            </c:numRef>
          </c:cat>
          <c:val>
            <c:numRef>
              <c:f>'[1]Water_Graph 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97696"/>
        <c:axId val="155999232"/>
      </c:lineChart>
      <c:catAx>
        <c:axId val="15598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6160"/>
        <c:crosses val="autoZero"/>
        <c:auto val="0"/>
        <c:lblAlgn val="ctr"/>
        <c:lblOffset val="100"/>
        <c:tickMarkSkip val="1"/>
        <c:noMultiLvlLbl val="0"/>
      </c:catAx>
      <c:valAx>
        <c:axId val="155996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82080"/>
        <c:crosses val="autoZero"/>
        <c:crossBetween val="between"/>
      </c:valAx>
      <c:catAx>
        <c:axId val="155997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55999232"/>
        <c:crosses val="autoZero"/>
        <c:auto val="0"/>
        <c:lblAlgn val="ctr"/>
        <c:lblOffset val="100"/>
        <c:noMultiLvlLbl val="0"/>
      </c:catAx>
      <c:valAx>
        <c:axId val="1559992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76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3130</c:v>
                </c:pt>
                <c:pt idx="1">
                  <c:v>3105</c:v>
                </c:pt>
                <c:pt idx="2">
                  <c:v>2910</c:v>
                </c:pt>
                <c:pt idx="3">
                  <c:v>3289</c:v>
                </c:pt>
                <c:pt idx="4">
                  <c:v>3146</c:v>
                </c:pt>
                <c:pt idx="5">
                  <c:v>3361</c:v>
                </c:pt>
                <c:pt idx="6">
                  <c:v>3380</c:v>
                </c:pt>
                <c:pt idx="7">
                  <c:v>3662</c:v>
                </c:pt>
                <c:pt idx="8">
                  <c:v>3399</c:v>
                </c:pt>
                <c:pt idx="9">
                  <c:v>3440</c:v>
                </c:pt>
                <c:pt idx="10">
                  <c:v>3696</c:v>
                </c:pt>
                <c:pt idx="11">
                  <c:v>3646</c:v>
                </c:pt>
                <c:pt idx="12">
                  <c:v>3967</c:v>
                </c:pt>
                <c:pt idx="13">
                  <c:v>3411</c:v>
                </c:pt>
                <c:pt idx="14">
                  <c:v>3878</c:v>
                </c:pt>
                <c:pt idx="15">
                  <c:v>3906</c:v>
                </c:pt>
                <c:pt idx="16">
                  <c:v>3764</c:v>
                </c:pt>
                <c:pt idx="17">
                  <c:v>3882</c:v>
                </c:pt>
                <c:pt idx="18">
                  <c:v>3745</c:v>
                </c:pt>
                <c:pt idx="19">
                  <c:v>3257</c:v>
                </c:pt>
                <c:pt idx="20">
                  <c:v>4495</c:v>
                </c:pt>
                <c:pt idx="21">
                  <c:v>3996</c:v>
                </c:pt>
                <c:pt idx="22">
                  <c:v>4192</c:v>
                </c:pt>
                <c:pt idx="23">
                  <c:v>4947</c:v>
                </c:pt>
                <c:pt idx="24">
                  <c:v>4917</c:v>
                </c:pt>
                <c:pt idx="25">
                  <c:v>4944</c:v>
                </c:pt>
                <c:pt idx="26">
                  <c:v>5000</c:v>
                </c:pt>
                <c:pt idx="27">
                  <c:v>4676</c:v>
                </c:pt>
                <c:pt idx="28">
                  <c:v>4892</c:v>
                </c:pt>
                <c:pt idx="29">
                  <c:v>4766</c:v>
                </c:pt>
                <c:pt idx="30">
                  <c:v>4562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06752"/>
        <c:axId val="156545792"/>
      </c:lineChart>
      <c:catAx>
        <c:axId val="156506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45792"/>
        <c:crosses val="autoZero"/>
        <c:auto val="1"/>
        <c:lblAlgn val="ctr"/>
        <c:lblOffset val="100"/>
        <c:noMultiLvlLbl val="0"/>
      </c:catAx>
      <c:valAx>
        <c:axId val="15654579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067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79</c:v>
                </c:pt>
                <c:pt idx="1">
                  <c:v>67</c:v>
                </c:pt>
                <c:pt idx="2">
                  <c:v>83</c:v>
                </c:pt>
                <c:pt idx="3">
                  <c:v>67</c:v>
                </c:pt>
                <c:pt idx="4">
                  <c:v>62</c:v>
                </c:pt>
                <c:pt idx="5">
                  <c:v>57</c:v>
                </c:pt>
                <c:pt idx="6">
                  <c:v>73</c:v>
                </c:pt>
                <c:pt idx="7">
                  <c:v>80</c:v>
                </c:pt>
                <c:pt idx="8">
                  <c:v>65</c:v>
                </c:pt>
                <c:pt idx="9">
                  <c:v>71</c:v>
                </c:pt>
                <c:pt idx="10">
                  <c:v>72</c:v>
                </c:pt>
                <c:pt idx="11">
                  <c:v>65</c:v>
                </c:pt>
                <c:pt idx="12">
                  <c:v>68</c:v>
                </c:pt>
                <c:pt idx="13">
                  <c:v>78</c:v>
                </c:pt>
                <c:pt idx="14">
                  <c:v>72</c:v>
                </c:pt>
                <c:pt idx="15">
                  <c:v>73</c:v>
                </c:pt>
                <c:pt idx="16">
                  <c:v>73</c:v>
                </c:pt>
                <c:pt idx="17">
                  <c:v>85</c:v>
                </c:pt>
                <c:pt idx="18">
                  <c:v>80</c:v>
                </c:pt>
                <c:pt idx="19">
                  <c:v>76</c:v>
                </c:pt>
                <c:pt idx="20">
                  <c:v>69</c:v>
                </c:pt>
                <c:pt idx="21">
                  <c:v>71</c:v>
                </c:pt>
                <c:pt idx="22">
                  <c:v>85</c:v>
                </c:pt>
                <c:pt idx="23">
                  <c:v>75</c:v>
                </c:pt>
                <c:pt idx="24">
                  <c:v>102</c:v>
                </c:pt>
                <c:pt idx="25">
                  <c:v>106</c:v>
                </c:pt>
                <c:pt idx="26">
                  <c:v>102</c:v>
                </c:pt>
                <c:pt idx="27">
                  <c:v>109</c:v>
                </c:pt>
                <c:pt idx="28">
                  <c:v>111</c:v>
                </c:pt>
                <c:pt idx="29">
                  <c:v>102</c:v>
                </c:pt>
                <c:pt idx="30">
                  <c:v>102</c:v>
                </c:pt>
                <c:pt idx="31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58464"/>
        <c:axId val="156560384"/>
      </c:lineChart>
      <c:catAx>
        <c:axId val="15655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60384"/>
        <c:crosses val="autoZero"/>
        <c:auto val="1"/>
        <c:lblAlgn val="ctr"/>
        <c:lblOffset val="100"/>
        <c:noMultiLvlLbl val="0"/>
      </c:catAx>
      <c:valAx>
        <c:axId val="15656038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584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1396</c:v>
                </c:pt>
                <c:pt idx="1">
                  <c:v>1864.85</c:v>
                </c:pt>
                <c:pt idx="2" formatCode="0.00">
                  <c:v>1177.17</c:v>
                </c:pt>
                <c:pt idx="3">
                  <c:v>1492.73</c:v>
                </c:pt>
                <c:pt idx="4">
                  <c:v>1300.26</c:v>
                </c:pt>
                <c:pt idx="5">
                  <c:v>1393.2900000000002</c:v>
                </c:pt>
                <c:pt idx="6">
                  <c:v>1504.88</c:v>
                </c:pt>
                <c:pt idx="7">
                  <c:v>1611.1899999999998</c:v>
                </c:pt>
                <c:pt idx="8">
                  <c:v>1423.64</c:v>
                </c:pt>
                <c:pt idx="9">
                  <c:v>1795.98</c:v>
                </c:pt>
                <c:pt idx="10">
                  <c:v>1550.6599999999999</c:v>
                </c:pt>
                <c:pt idx="11">
                  <c:v>1553.4</c:v>
                </c:pt>
                <c:pt idx="12">
                  <c:v>1682.88</c:v>
                </c:pt>
                <c:pt idx="13">
                  <c:v>1536.72</c:v>
                </c:pt>
                <c:pt idx="14">
                  <c:v>1601.9099999999999</c:v>
                </c:pt>
                <c:pt idx="15" formatCode="_(* #,##0.00_);_(* \(#,##0.00\);_(* &quot;-&quot;??_);_(@_)">
                  <c:v>1703.33</c:v>
                </c:pt>
                <c:pt idx="16" formatCode="_(* #,##0.00_);_(* \(#,##0.00\);_(* &quot;-&quot;??_);_(@_)">
                  <c:v>1634.8999999999999</c:v>
                </c:pt>
                <c:pt idx="17">
                  <c:v>1878.62</c:v>
                </c:pt>
                <c:pt idx="18">
                  <c:v>1619.56</c:v>
                </c:pt>
                <c:pt idx="19">
                  <c:v>1529.07</c:v>
                </c:pt>
                <c:pt idx="20">
                  <c:v>1931.97</c:v>
                </c:pt>
                <c:pt idx="21">
                  <c:v>1983.26</c:v>
                </c:pt>
                <c:pt idx="22">
                  <c:v>1803.49</c:v>
                </c:pt>
                <c:pt idx="23">
                  <c:v>2112.66</c:v>
                </c:pt>
                <c:pt idx="24">
                  <c:v>2040.69</c:v>
                </c:pt>
                <c:pt idx="25">
                  <c:v>2450.14</c:v>
                </c:pt>
                <c:pt idx="26">
                  <c:v>2078.4499999999998</c:v>
                </c:pt>
                <c:pt idx="27">
                  <c:v>2240.08</c:v>
                </c:pt>
                <c:pt idx="28">
                  <c:v>2276.0700000000002</c:v>
                </c:pt>
                <c:pt idx="29">
                  <c:v>2074.0300000000002</c:v>
                </c:pt>
                <c:pt idx="30">
                  <c:v>2777.05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90144"/>
        <c:axId val="156824704"/>
      </c:lineChart>
      <c:catAx>
        <c:axId val="15679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24704"/>
        <c:crosses val="autoZero"/>
        <c:auto val="1"/>
        <c:lblAlgn val="ctr"/>
        <c:lblOffset val="200"/>
        <c:tickLblSkip val="1"/>
        <c:noMultiLvlLbl val="0"/>
      </c:catAx>
      <c:valAx>
        <c:axId val="156824704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9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0.05</c:v>
                </c:pt>
                <c:pt idx="2">
                  <c:v>0.05</c:v>
                </c:pt>
                <c:pt idx="3">
                  <c:v>0.08</c:v>
                </c:pt>
                <c:pt idx="4">
                  <c:v>0.05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0.12</c:v>
                </c:pt>
                <c:pt idx="8">
                  <c:v>0.09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0.16</c:v>
                </c:pt>
                <c:pt idx="13">
                  <c:v>0.17</c:v>
                </c:pt>
                <c:pt idx="14">
                  <c:v>0.18</c:v>
                </c:pt>
                <c:pt idx="15">
                  <c:v>0.16</c:v>
                </c:pt>
                <c:pt idx="16">
                  <c:v>0.16</c:v>
                </c:pt>
                <c:pt idx="17">
                  <c:v>0.13</c:v>
                </c:pt>
                <c:pt idx="18">
                  <c:v>0.12</c:v>
                </c:pt>
                <c:pt idx="19">
                  <c:v>0.06</c:v>
                </c:pt>
                <c:pt idx="20">
                  <c:v>0.1</c:v>
                </c:pt>
                <c:pt idx="21">
                  <c:v>0.17</c:v>
                </c:pt>
                <c:pt idx="22">
                  <c:v>0.17</c:v>
                </c:pt>
                <c:pt idx="23">
                  <c:v>0.47</c:v>
                </c:pt>
                <c:pt idx="24">
                  <c:v>0.57999999999999996</c:v>
                </c:pt>
                <c:pt idx="25">
                  <c:v>0.43</c:v>
                </c:pt>
                <c:pt idx="26">
                  <c:v>0.39</c:v>
                </c:pt>
                <c:pt idx="27">
                  <c:v>0.43</c:v>
                </c:pt>
                <c:pt idx="28">
                  <c:v>0.53</c:v>
                </c:pt>
                <c:pt idx="29">
                  <c:v>0.61</c:v>
                </c:pt>
                <c:pt idx="30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27808"/>
        <c:axId val="157129344"/>
      </c:lineChart>
      <c:catAx>
        <c:axId val="15712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9344"/>
        <c:crosses val="autoZero"/>
        <c:auto val="1"/>
        <c:lblAlgn val="ctr"/>
        <c:lblOffset val="100"/>
        <c:noMultiLvlLbl val="0"/>
      </c:catAx>
      <c:valAx>
        <c:axId val="1571293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101.24399999997696</c:v>
                </c:pt>
                <c:pt idx="1">
                  <c:v>70.311999999982078</c:v>
                </c:pt>
                <c:pt idx="2">
                  <c:v>59.576000000035862</c:v>
                </c:pt>
                <c:pt idx="3">
                  <c:v>61.511999999982073</c:v>
                </c:pt>
                <c:pt idx="4">
                  <c:v>87.340000000025611</c:v>
                </c:pt>
                <c:pt idx="5">
                  <c:v>107.49199999996928</c:v>
                </c:pt>
                <c:pt idx="6">
                  <c:v>90.68400000000257</c:v>
                </c:pt>
                <c:pt idx="7">
                  <c:v>99.879999999987206</c:v>
                </c:pt>
                <c:pt idx="8">
                  <c:v>108.98800000001793</c:v>
                </c:pt>
                <c:pt idx="9">
                  <c:v>110.00000000000001</c:v>
                </c:pt>
                <c:pt idx="10">
                  <c:v>105.37999999998721</c:v>
                </c:pt>
                <c:pt idx="11">
                  <c:v>106.65600000002306</c:v>
                </c:pt>
                <c:pt idx="12">
                  <c:v>108.02000000001281</c:v>
                </c:pt>
                <c:pt idx="13">
                  <c:v>103.66399999998977</c:v>
                </c:pt>
                <c:pt idx="14">
                  <c:v>98.427999999979519</c:v>
                </c:pt>
                <c:pt idx="15">
                  <c:v>105.02799999997951</c:v>
                </c:pt>
                <c:pt idx="16">
                  <c:v>101.72800000004355</c:v>
                </c:pt>
                <c:pt idx="17">
                  <c:v>107.27199999995646</c:v>
                </c:pt>
                <c:pt idx="18">
                  <c:v>94.468000000005134</c:v>
                </c:pt>
                <c:pt idx="19">
                  <c:v>87.868000000005125</c:v>
                </c:pt>
                <c:pt idx="20">
                  <c:v>113.43199999999489</c:v>
                </c:pt>
                <c:pt idx="21">
                  <c:v>114.44400000004099</c:v>
                </c:pt>
                <c:pt idx="22">
                  <c:v>114.09199999996927</c:v>
                </c:pt>
                <c:pt idx="23">
                  <c:v>117.92000000001282</c:v>
                </c:pt>
                <c:pt idx="24">
                  <c:v>129.40400000001537</c:v>
                </c:pt>
                <c:pt idx="25">
                  <c:v>115.76399999998976</c:v>
                </c:pt>
                <c:pt idx="26">
                  <c:v>127.33600000001026</c:v>
                </c:pt>
                <c:pt idx="27">
                  <c:v>126.71999999994878</c:v>
                </c:pt>
                <c:pt idx="28">
                  <c:v>135.38800000001794</c:v>
                </c:pt>
                <c:pt idx="29">
                  <c:v>157.30000000000001</c:v>
                </c:pt>
                <c:pt idx="30">
                  <c:v>163.02000000001283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53920"/>
        <c:axId val="157294976"/>
      </c:lineChart>
      <c:catAx>
        <c:axId val="157153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94976"/>
        <c:crosses val="autoZero"/>
        <c:auto val="1"/>
        <c:lblAlgn val="ctr"/>
        <c:lblOffset val="100"/>
        <c:noMultiLvlLbl val="0"/>
      </c:catAx>
      <c:valAx>
        <c:axId val="1572949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5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3130</c:v>
                </c:pt>
                <c:pt idx="1">
                  <c:v>3105</c:v>
                </c:pt>
                <c:pt idx="2">
                  <c:v>2910</c:v>
                </c:pt>
                <c:pt idx="3">
                  <c:v>3289</c:v>
                </c:pt>
                <c:pt idx="4">
                  <c:v>3146</c:v>
                </c:pt>
                <c:pt idx="5">
                  <c:v>3361</c:v>
                </c:pt>
                <c:pt idx="6">
                  <c:v>3380</c:v>
                </c:pt>
                <c:pt idx="7">
                  <c:v>3662</c:v>
                </c:pt>
                <c:pt idx="8">
                  <c:v>3399</c:v>
                </c:pt>
                <c:pt idx="9">
                  <c:v>3440</c:v>
                </c:pt>
                <c:pt idx="10">
                  <c:v>3696</c:v>
                </c:pt>
                <c:pt idx="11">
                  <c:v>3646</c:v>
                </c:pt>
                <c:pt idx="12">
                  <c:v>3967</c:v>
                </c:pt>
                <c:pt idx="13">
                  <c:v>3411</c:v>
                </c:pt>
                <c:pt idx="14">
                  <c:v>3878</c:v>
                </c:pt>
                <c:pt idx="15">
                  <c:v>3906</c:v>
                </c:pt>
                <c:pt idx="16">
                  <c:v>3764</c:v>
                </c:pt>
                <c:pt idx="17">
                  <c:v>3882</c:v>
                </c:pt>
                <c:pt idx="18">
                  <c:v>3745</c:v>
                </c:pt>
                <c:pt idx="19">
                  <c:v>3257</c:v>
                </c:pt>
                <c:pt idx="20">
                  <c:v>4495</c:v>
                </c:pt>
                <c:pt idx="21">
                  <c:v>3996</c:v>
                </c:pt>
                <c:pt idx="22">
                  <c:v>4192</c:v>
                </c:pt>
                <c:pt idx="23">
                  <c:v>4947</c:v>
                </c:pt>
                <c:pt idx="24">
                  <c:v>4917</c:v>
                </c:pt>
                <c:pt idx="25">
                  <c:v>4944</c:v>
                </c:pt>
                <c:pt idx="26">
                  <c:v>5000</c:v>
                </c:pt>
                <c:pt idx="27">
                  <c:v>4676</c:v>
                </c:pt>
                <c:pt idx="28">
                  <c:v>4892</c:v>
                </c:pt>
                <c:pt idx="29">
                  <c:v>4766</c:v>
                </c:pt>
                <c:pt idx="30">
                  <c:v>4562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14464"/>
        <c:axId val="157616384"/>
      </c:lineChart>
      <c:catAx>
        <c:axId val="157614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6384"/>
        <c:crosses val="autoZero"/>
        <c:auto val="1"/>
        <c:lblAlgn val="ctr"/>
        <c:lblOffset val="100"/>
        <c:noMultiLvlLbl val="0"/>
      </c:catAx>
      <c:valAx>
        <c:axId val="157616384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44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79</c:v>
                </c:pt>
                <c:pt idx="1">
                  <c:v>67</c:v>
                </c:pt>
                <c:pt idx="2">
                  <c:v>83</c:v>
                </c:pt>
                <c:pt idx="3">
                  <c:v>67</c:v>
                </c:pt>
                <c:pt idx="4">
                  <c:v>62</c:v>
                </c:pt>
                <c:pt idx="5">
                  <c:v>57</c:v>
                </c:pt>
                <c:pt idx="6">
                  <c:v>73</c:v>
                </c:pt>
                <c:pt idx="7">
                  <c:v>80</c:v>
                </c:pt>
                <c:pt idx="8">
                  <c:v>65</c:v>
                </c:pt>
                <c:pt idx="9">
                  <c:v>71</c:v>
                </c:pt>
                <c:pt idx="10">
                  <c:v>72</c:v>
                </c:pt>
                <c:pt idx="11">
                  <c:v>65</c:v>
                </c:pt>
                <c:pt idx="12">
                  <c:v>68</c:v>
                </c:pt>
                <c:pt idx="13">
                  <c:v>78</c:v>
                </c:pt>
                <c:pt idx="14">
                  <c:v>72</c:v>
                </c:pt>
                <c:pt idx="15">
                  <c:v>73</c:v>
                </c:pt>
                <c:pt idx="16">
                  <c:v>73</c:v>
                </c:pt>
                <c:pt idx="17">
                  <c:v>85</c:v>
                </c:pt>
                <c:pt idx="18">
                  <c:v>80</c:v>
                </c:pt>
                <c:pt idx="19">
                  <c:v>76</c:v>
                </c:pt>
                <c:pt idx="20">
                  <c:v>69</c:v>
                </c:pt>
                <c:pt idx="21">
                  <c:v>71</c:v>
                </c:pt>
                <c:pt idx="22">
                  <c:v>85</c:v>
                </c:pt>
                <c:pt idx="23">
                  <c:v>75</c:v>
                </c:pt>
                <c:pt idx="24">
                  <c:v>102</c:v>
                </c:pt>
                <c:pt idx="25">
                  <c:v>106</c:v>
                </c:pt>
                <c:pt idx="26">
                  <c:v>102</c:v>
                </c:pt>
                <c:pt idx="27">
                  <c:v>109</c:v>
                </c:pt>
                <c:pt idx="28">
                  <c:v>111</c:v>
                </c:pt>
                <c:pt idx="29">
                  <c:v>102</c:v>
                </c:pt>
                <c:pt idx="30">
                  <c:v>102</c:v>
                </c:pt>
                <c:pt idx="31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49536"/>
        <c:axId val="157672192"/>
      </c:lineChart>
      <c:catAx>
        <c:axId val="15764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72192"/>
        <c:crosses val="autoZero"/>
        <c:auto val="1"/>
        <c:lblAlgn val="ctr"/>
        <c:lblOffset val="100"/>
        <c:noMultiLvlLbl val="0"/>
      </c:catAx>
      <c:valAx>
        <c:axId val="157672192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495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1396</c:v>
                </c:pt>
                <c:pt idx="1">
                  <c:v>1864.85</c:v>
                </c:pt>
                <c:pt idx="2" formatCode="0.00">
                  <c:v>1177.17</c:v>
                </c:pt>
                <c:pt idx="3">
                  <c:v>1492.73</c:v>
                </c:pt>
                <c:pt idx="4">
                  <c:v>1300.26</c:v>
                </c:pt>
                <c:pt idx="5">
                  <c:v>1393.2900000000002</c:v>
                </c:pt>
                <c:pt idx="6">
                  <c:v>1504.88</c:v>
                </c:pt>
                <c:pt idx="7">
                  <c:v>1611.1899999999998</c:v>
                </c:pt>
                <c:pt idx="8">
                  <c:v>1423.64</c:v>
                </c:pt>
                <c:pt idx="9">
                  <c:v>1795.98</c:v>
                </c:pt>
                <c:pt idx="10">
                  <c:v>1550.6599999999999</c:v>
                </c:pt>
                <c:pt idx="11">
                  <c:v>1553.4</c:v>
                </c:pt>
                <c:pt idx="12">
                  <c:v>1682.88</c:v>
                </c:pt>
                <c:pt idx="13">
                  <c:v>1536.72</c:v>
                </c:pt>
                <c:pt idx="14">
                  <c:v>1601.9099999999999</c:v>
                </c:pt>
                <c:pt idx="15" formatCode="_(* #,##0.00_);_(* \(#,##0.00\);_(* &quot;-&quot;??_);_(@_)">
                  <c:v>1703.33</c:v>
                </c:pt>
                <c:pt idx="16" formatCode="_(* #,##0.00_);_(* \(#,##0.00\);_(* &quot;-&quot;??_);_(@_)">
                  <c:v>1634.8999999999999</c:v>
                </c:pt>
                <c:pt idx="17">
                  <c:v>1878.62</c:v>
                </c:pt>
                <c:pt idx="18">
                  <c:v>1619.56</c:v>
                </c:pt>
                <c:pt idx="19">
                  <c:v>1529.07</c:v>
                </c:pt>
                <c:pt idx="20">
                  <c:v>1931.97</c:v>
                </c:pt>
                <c:pt idx="21">
                  <c:v>1983.26</c:v>
                </c:pt>
                <c:pt idx="22">
                  <c:v>1803.49</c:v>
                </c:pt>
                <c:pt idx="23">
                  <c:v>2112.66</c:v>
                </c:pt>
                <c:pt idx="24">
                  <c:v>2040.69</c:v>
                </c:pt>
                <c:pt idx="25">
                  <c:v>2450.14</c:v>
                </c:pt>
                <c:pt idx="26">
                  <c:v>2078.4499999999998</c:v>
                </c:pt>
                <c:pt idx="27">
                  <c:v>2240.08</c:v>
                </c:pt>
                <c:pt idx="28">
                  <c:v>2276.0700000000002</c:v>
                </c:pt>
                <c:pt idx="29">
                  <c:v>2074.0300000000002</c:v>
                </c:pt>
                <c:pt idx="30">
                  <c:v>2777.05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23552"/>
        <c:axId val="158825088"/>
      </c:lineChart>
      <c:catAx>
        <c:axId val="15882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5088"/>
        <c:crosses val="autoZero"/>
        <c:auto val="1"/>
        <c:lblAlgn val="ctr"/>
        <c:lblOffset val="200"/>
        <c:tickLblSkip val="1"/>
        <c:noMultiLvlLbl val="0"/>
      </c:catAx>
      <c:valAx>
        <c:axId val="158825088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0.05</c:v>
                </c:pt>
                <c:pt idx="2">
                  <c:v>0.05</c:v>
                </c:pt>
                <c:pt idx="3">
                  <c:v>0.08</c:v>
                </c:pt>
                <c:pt idx="4">
                  <c:v>0.05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0.12</c:v>
                </c:pt>
                <c:pt idx="8">
                  <c:v>0.09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0.16</c:v>
                </c:pt>
                <c:pt idx="13">
                  <c:v>0.17</c:v>
                </c:pt>
                <c:pt idx="14">
                  <c:v>0.18</c:v>
                </c:pt>
                <c:pt idx="15">
                  <c:v>0.16</c:v>
                </c:pt>
                <c:pt idx="16">
                  <c:v>0.16</c:v>
                </c:pt>
                <c:pt idx="17">
                  <c:v>0.13</c:v>
                </c:pt>
                <c:pt idx="18">
                  <c:v>0.12</c:v>
                </c:pt>
                <c:pt idx="19">
                  <c:v>0.06</c:v>
                </c:pt>
                <c:pt idx="20">
                  <c:v>0.1</c:v>
                </c:pt>
                <c:pt idx="21">
                  <c:v>0.17</c:v>
                </c:pt>
                <c:pt idx="22">
                  <c:v>0.17</c:v>
                </c:pt>
                <c:pt idx="23">
                  <c:v>0.47</c:v>
                </c:pt>
                <c:pt idx="24">
                  <c:v>0.57999999999999996</c:v>
                </c:pt>
                <c:pt idx="25">
                  <c:v>0.43</c:v>
                </c:pt>
                <c:pt idx="26">
                  <c:v>0.39</c:v>
                </c:pt>
                <c:pt idx="27">
                  <c:v>0.43</c:v>
                </c:pt>
                <c:pt idx="28">
                  <c:v>0.53</c:v>
                </c:pt>
                <c:pt idx="29">
                  <c:v>0.61</c:v>
                </c:pt>
                <c:pt idx="30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57856"/>
        <c:axId val="158925184"/>
      </c:lineChart>
      <c:catAx>
        <c:axId val="158857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25184"/>
        <c:crosses val="autoZero"/>
        <c:auto val="1"/>
        <c:lblAlgn val="ctr"/>
        <c:lblOffset val="100"/>
        <c:noMultiLvlLbl val="0"/>
      </c:catAx>
      <c:valAx>
        <c:axId val="1589251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5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101.24399999997696</c:v>
                </c:pt>
                <c:pt idx="1">
                  <c:v>70.311999999982078</c:v>
                </c:pt>
                <c:pt idx="2">
                  <c:v>59.576000000035862</c:v>
                </c:pt>
                <c:pt idx="3">
                  <c:v>61.511999999982073</c:v>
                </c:pt>
                <c:pt idx="4">
                  <c:v>87.340000000025611</c:v>
                </c:pt>
                <c:pt idx="5">
                  <c:v>107.49199999996928</c:v>
                </c:pt>
                <c:pt idx="6">
                  <c:v>90.68400000000257</c:v>
                </c:pt>
                <c:pt idx="7">
                  <c:v>99.879999999987206</c:v>
                </c:pt>
                <c:pt idx="8">
                  <c:v>108.98800000001793</c:v>
                </c:pt>
                <c:pt idx="9">
                  <c:v>110.00000000000001</c:v>
                </c:pt>
                <c:pt idx="10">
                  <c:v>105.37999999998721</c:v>
                </c:pt>
                <c:pt idx="11">
                  <c:v>106.65600000002306</c:v>
                </c:pt>
                <c:pt idx="12">
                  <c:v>108.02000000001281</c:v>
                </c:pt>
                <c:pt idx="13">
                  <c:v>103.66399999998977</c:v>
                </c:pt>
                <c:pt idx="14">
                  <c:v>98.427999999979519</c:v>
                </c:pt>
                <c:pt idx="15">
                  <c:v>105.02799999997951</c:v>
                </c:pt>
                <c:pt idx="16">
                  <c:v>101.72800000004355</c:v>
                </c:pt>
                <c:pt idx="17">
                  <c:v>107.27199999995646</c:v>
                </c:pt>
                <c:pt idx="18">
                  <c:v>94.468000000005134</c:v>
                </c:pt>
                <c:pt idx="19">
                  <c:v>87.868000000005125</c:v>
                </c:pt>
                <c:pt idx="20">
                  <c:v>113.43199999999489</c:v>
                </c:pt>
                <c:pt idx="21">
                  <c:v>114.44400000004099</c:v>
                </c:pt>
                <c:pt idx="22">
                  <c:v>114.09199999996927</c:v>
                </c:pt>
                <c:pt idx="23">
                  <c:v>117.92000000001282</c:v>
                </c:pt>
                <c:pt idx="24">
                  <c:v>129.40400000001537</c:v>
                </c:pt>
                <c:pt idx="25">
                  <c:v>115.76399999998976</c:v>
                </c:pt>
                <c:pt idx="26">
                  <c:v>127.33600000001026</c:v>
                </c:pt>
                <c:pt idx="27">
                  <c:v>126.71999999994878</c:v>
                </c:pt>
                <c:pt idx="28">
                  <c:v>135.38800000001794</c:v>
                </c:pt>
                <c:pt idx="29">
                  <c:v>157.30000000000001</c:v>
                </c:pt>
                <c:pt idx="30">
                  <c:v>163.02000000001283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949760"/>
        <c:axId val="158951296"/>
      </c:lineChart>
      <c:catAx>
        <c:axId val="15894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51296"/>
        <c:crosses val="autoZero"/>
        <c:auto val="1"/>
        <c:lblAlgn val="ctr"/>
        <c:lblOffset val="100"/>
        <c:noMultiLvlLbl val="0"/>
      </c:catAx>
      <c:valAx>
        <c:axId val="1589512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4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40832"/>
        <c:axId val="160075776"/>
      </c:lineChart>
      <c:catAx>
        <c:axId val="16004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75776"/>
        <c:crosses val="autoZero"/>
        <c:auto val="1"/>
        <c:lblAlgn val="ctr"/>
        <c:lblOffset val="100"/>
        <c:noMultiLvlLbl val="0"/>
      </c:catAx>
      <c:valAx>
        <c:axId val="16007577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408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96640"/>
        <c:axId val="160098560"/>
      </c:lineChart>
      <c:catAx>
        <c:axId val="16009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8560"/>
        <c:crosses val="autoZero"/>
        <c:auto val="1"/>
        <c:lblAlgn val="ctr"/>
        <c:lblOffset val="100"/>
        <c:noMultiLvlLbl val="0"/>
      </c:catAx>
      <c:valAx>
        <c:axId val="16009856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66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529024"/>
        <c:axId val="160547200"/>
      </c:lineChart>
      <c:catAx>
        <c:axId val="16052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47200"/>
        <c:crosses val="autoZero"/>
        <c:auto val="1"/>
        <c:lblAlgn val="ctr"/>
        <c:lblOffset val="200"/>
        <c:tickLblSkip val="1"/>
        <c:noMultiLvlLbl val="0"/>
      </c:catAx>
      <c:valAx>
        <c:axId val="16054720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2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08352"/>
        <c:axId val="161109888"/>
      </c:lineChart>
      <c:catAx>
        <c:axId val="161108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9888"/>
        <c:crosses val="autoZero"/>
        <c:auto val="1"/>
        <c:lblAlgn val="ctr"/>
        <c:lblOffset val="100"/>
        <c:noMultiLvlLbl val="0"/>
      </c:catAx>
      <c:valAx>
        <c:axId val="161109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328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150848"/>
        <c:axId val="161152384"/>
      </c:lineChart>
      <c:catAx>
        <c:axId val="16115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2384"/>
        <c:crosses val="autoZero"/>
        <c:auto val="1"/>
        <c:lblAlgn val="ctr"/>
        <c:lblOffset val="100"/>
        <c:noMultiLvlLbl val="0"/>
      </c:catAx>
      <c:valAx>
        <c:axId val="161152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72864"/>
        <c:axId val="161216000"/>
      </c:lineChart>
      <c:catAx>
        <c:axId val="161172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16000"/>
        <c:crosses val="autoZero"/>
        <c:auto val="1"/>
        <c:lblAlgn val="ctr"/>
        <c:lblOffset val="100"/>
        <c:noMultiLvlLbl val="0"/>
      </c:catAx>
      <c:valAx>
        <c:axId val="16121600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728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85024"/>
        <c:axId val="161599488"/>
      </c:lineChart>
      <c:catAx>
        <c:axId val="161585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99488"/>
        <c:crosses val="autoZero"/>
        <c:auto val="1"/>
        <c:lblAlgn val="ctr"/>
        <c:lblOffset val="100"/>
        <c:noMultiLvlLbl val="0"/>
      </c:catAx>
      <c:valAx>
        <c:axId val="161599488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850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28544"/>
        <c:axId val="161630080"/>
      </c:lineChart>
      <c:catAx>
        <c:axId val="16162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30080"/>
        <c:crosses val="autoZero"/>
        <c:auto val="1"/>
        <c:lblAlgn val="ctr"/>
        <c:lblOffset val="200"/>
        <c:tickLblSkip val="1"/>
        <c:noMultiLvlLbl val="0"/>
      </c:catAx>
      <c:valAx>
        <c:axId val="16163008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2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58752"/>
        <c:axId val="161660288"/>
      </c:lineChart>
      <c:catAx>
        <c:axId val="16165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60288"/>
        <c:crosses val="autoZero"/>
        <c:auto val="1"/>
        <c:lblAlgn val="ctr"/>
        <c:lblOffset val="100"/>
        <c:noMultiLvlLbl val="0"/>
      </c:catAx>
      <c:valAx>
        <c:axId val="161660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5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328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66208"/>
        <c:axId val="162788480"/>
      </c:lineChart>
      <c:catAx>
        <c:axId val="16276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88480"/>
        <c:crosses val="autoZero"/>
        <c:auto val="1"/>
        <c:lblAlgn val="ctr"/>
        <c:lblOffset val="100"/>
        <c:noMultiLvlLbl val="0"/>
      </c:catAx>
      <c:valAx>
        <c:axId val="162788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6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chart" Target="../charts/chart30.xml"/><Relationship Id="rId18" Type="http://schemas.openxmlformats.org/officeDocument/2006/relationships/chart" Target="../charts/chart3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17" Type="http://schemas.openxmlformats.org/officeDocument/2006/relationships/chart" Target="../charts/chart34.xml"/><Relationship Id="rId2" Type="http://schemas.openxmlformats.org/officeDocument/2006/relationships/chart" Target="../charts/chart19.xml"/><Relationship Id="rId16" Type="http://schemas.openxmlformats.org/officeDocument/2006/relationships/chart" Target="../charts/chart33.xml"/><Relationship Id="rId20" Type="http://schemas.openxmlformats.org/officeDocument/2006/relationships/chart" Target="../charts/chart37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10" Type="http://schemas.openxmlformats.org/officeDocument/2006/relationships/chart" Target="../charts/chart27.xml"/><Relationship Id="rId19" Type="http://schemas.openxmlformats.org/officeDocument/2006/relationships/chart" Target="../charts/chart36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215610</xdr:rowOff>
    </xdr:from>
    <xdr:to>
      <xdr:col>3</xdr:col>
      <xdr:colOff>123825</xdr:colOff>
      <xdr:row>6</xdr:row>
      <xdr:rowOff>184438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58485"/>
          <a:ext cx="1401906" cy="10070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581025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242888</xdr:colOff>
      <xdr:row>2</xdr:row>
      <xdr:rowOff>33336</xdr:rowOff>
    </xdr:from>
    <xdr:to>
      <xdr:col>2</xdr:col>
      <xdr:colOff>638175</xdr:colOff>
      <xdr:row>6</xdr:row>
      <xdr:rowOff>63643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2888" y="509586"/>
          <a:ext cx="995362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2</xdr:col>
      <xdr:colOff>1088572</xdr:colOff>
      <xdr:row>55</xdr:row>
      <xdr:rowOff>13607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831F53-DD09-47F9-827A-A9A51259B60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893" y="9906000"/>
          <a:ext cx="2354036" cy="213632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13607</xdr:colOff>
      <xdr:row>42</xdr:row>
      <xdr:rowOff>54429</xdr:rowOff>
    </xdr:from>
    <xdr:to>
      <xdr:col>5</xdr:col>
      <xdr:colOff>1102179</xdr:colOff>
      <xdr:row>55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1963B9-3528-42DC-B9B3-9288AB23CB1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0143" y="9960429"/>
          <a:ext cx="2190750" cy="20682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54429</xdr:colOff>
      <xdr:row>42</xdr:row>
      <xdr:rowOff>40821</xdr:rowOff>
    </xdr:from>
    <xdr:to>
      <xdr:col>7</xdr:col>
      <xdr:colOff>1551214</xdr:colOff>
      <xdr:row>54</xdr:row>
      <xdr:rowOff>122464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C875823-FBB6-4289-BF65-175E4E2332BF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92536" y="9946821"/>
          <a:ext cx="2911928" cy="20410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96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78</xdr:row>
      <xdr:rowOff>133350</xdr:rowOff>
    </xdr:from>
    <xdr:to>
      <xdr:col>13</xdr:col>
      <xdr:colOff>66675</xdr:colOff>
      <xdr:row>93</xdr:row>
      <xdr:rowOff>47625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id="{00000000-0008-0000-0600-000044A2E103}"/>
            </a:ext>
            <a:ext uri="{147F2762-F138-4A5C-976F-8EAC2B608ADB}">
              <a16:predDERef xmlns:a16="http://schemas.microsoft.com/office/drawing/2014/main" pre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36</xdr:row>
      <xdr:rowOff>152400</xdr:rowOff>
    </xdr:from>
    <xdr:to>
      <xdr:col>11</xdr:col>
      <xdr:colOff>819150</xdr:colOff>
      <xdr:row>60</xdr:row>
      <xdr:rowOff>123825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id="{00000000-0008-0000-0600-000045A2E103}"/>
            </a:ext>
            <a:ext uri="{147F2762-F138-4A5C-976F-8EAC2B608ADB}">
              <a16:predDERef xmlns:a16="http://schemas.microsoft.com/office/drawing/2014/main" pre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171450</xdr:colOff>
      <xdr:row>60</xdr:row>
      <xdr:rowOff>152400</xdr:rowOff>
    </xdr:from>
    <xdr:to>
      <xdr:col>26</xdr:col>
      <xdr:colOff>561975</xdr:colOff>
      <xdr:row>78</xdr:row>
      <xdr:rowOff>19050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id="{00000000-0008-0000-0600-000046A2E103}"/>
            </a:ext>
            <a:ext uri="{147F2762-F138-4A5C-976F-8EAC2B608ADB}">
              <a16:predDERef xmlns:a16="http://schemas.microsoft.com/office/drawing/2014/main" pre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95250</xdr:colOff>
      <xdr:row>36</xdr:row>
      <xdr:rowOff>104775</xdr:rowOff>
    </xdr:from>
    <xdr:to>
      <xdr:col>26</xdr:col>
      <xdr:colOff>571500</xdr:colOff>
      <xdr:row>60</xdr:row>
      <xdr:rowOff>123825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id="{00000000-0008-0000-0600-000047A2E103}"/>
            </a:ext>
            <a:ext uri="{147F2762-F138-4A5C-976F-8EAC2B608ADB}">
              <a16:predDERef xmlns:a16="http://schemas.microsoft.com/office/drawing/2014/main" pre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400050</xdr:colOff>
      <xdr:row>114</xdr:row>
      <xdr:rowOff>47625</xdr:rowOff>
    </xdr:from>
    <xdr:to>
      <xdr:col>35</xdr:col>
      <xdr:colOff>180975</xdr:colOff>
      <xdr:row>129</xdr:row>
      <xdr:rowOff>66675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id="{00000000-0008-0000-0600-000048A2E103}"/>
            </a:ext>
            <a:ext uri="{147F2762-F138-4A5C-976F-8EAC2B608ADB}">
              <a16:predDERef xmlns:a16="http://schemas.microsoft.com/office/drawing/2014/main" pre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61</xdr:row>
      <xdr:rowOff>104775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id="{00000000-0008-0000-0600-000049A2E103}"/>
            </a:ext>
            <a:ext uri="{147F2762-F138-4A5C-976F-8EAC2B608ADB}">
              <a16:predDERef xmlns:a16="http://schemas.microsoft.com/office/drawing/2014/main" pre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28575</xdr:colOff>
      <xdr:row>3</xdr:row>
      <xdr:rowOff>95250</xdr:rowOff>
    </xdr:from>
    <xdr:to>
      <xdr:col>26</xdr:col>
      <xdr:colOff>400050</xdr:colOff>
      <xdr:row>37</xdr:row>
      <xdr:rowOff>114300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600-00000B000000}"/>
            </a:ext>
            <a:ext uri="{147F2762-F138-4A5C-976F-8EAC2B608ADB}">
              <a16:predDERef xmlns:a16="http://schemas.microsoft.com/office/drawing/2014/main" pre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B00-000003000000}"/>
            </a:ext>
            <a:ext uri="{147F2762-F138-4A5C-976F-8EAC2B608ADB}">
              <a16:predDERef xmlns:a16="http://schemas.microsoft.com/office/drawing/2014/main" pre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75</xdr:row>
      <xdr:rowOff>152400</xdr:rowOff>
    </xdr:from>
    <xdr:to>
      <xdr:col>6</xdr:col>
      <xdr:colOff>790575</xdr:colOff>
      <xdr:row>87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790DBD-46E7-45DB-9585-D473190093F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2696825"/>
          <a:ext cx="2447925" cy="1943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676274</xdr:colOff>
      <xdr:row>78</xdr:row>
      <xdr:rowOff>28575</xdr:rowOff>
    </xdr:from>
    <xdr:to>
      <xdr:col>3</xdr:col>
      <xdr:colOff>847724</xdr:colOff>
      <xdr:row>86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437FEAB-F5ED-4E30-B6C7-A5BEA43826E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4" y="13068300"/>
          <a:ext cx="2505075" cy="1381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75</xdr:row>
      <xdr:rowOff>28575</xdr:rowOff>
    </xdr:from>
    <xdr:to>
      <xdr:col>12</xdr:col>
      <xdr:colOff>19050</xdr:colOff>
      <xdr:row>90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84F45F-E82C-4794-947D-1BCFB1E4D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0" y="12544425"/>
          <a:ext cx="4438650" cy="240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333375</xdr:colOff>
      <xdr:row>75</xdr:row>
      <xdr:rowOff>38100</xdr:rowOff>
    </xdr:from>
    <xdr:to>
      <xdr:col>4</xdr:col>
      <xdr:colOff>752475</xdr:colOff>
      <xdr:row>89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5595AA-5AD2-42C0-96B9-EE1858F679F9}"/>
            </a:ext>
            <a:ext uri="{147F2762-F138-4A5C-976F-8EAC2B608ADB}">
              <a16:predDERef xmlns:a16="http://schemas.microsoft.com/office/drawing/2014/main" pred="{E9A8BE06-8A28-4F35-AE3D-C732EABE6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" y="12553950"/>
          <a:ext cx="3600450" cy="22764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.sharepoint.com/DOCUME~1/JEAN-N~1.BRA/LOCALS~1/Temp/notes5669A7/DAILY%20UTILITY%20REPORT%20DECEMBER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summery"/>
      <sheetName val="Summery Report"/>
      <sheetName val="Energy Graph"/>
      <sheetName val="LPG_Graph"/>
      <sheetName val="Water_Graph "/>
      <sheetName val="Sheet1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sephat Mng'anya" id="{556D3338-F6C9-4083-B4B2-10C3D96D95B8}" userId="S::josephat.mnganya@fourseasons.com::67f60825-9cb0-4003-a669-09094968c066" providerId="AD"/>
</personList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20" dT="2021-12-11T03:37:23.19" personId="{556D3338-F6C9-4083-B4B2-10C3D96D95B8}" id="{602D2C5A-52D4-41DC-B2C1-FCA20345A04D}">
    <text>Used by Green land vehicle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X38"/>
  <sheetViews>
    <sheetView topLeftCell="C1" workbookViewId="0">
      <selection activeCell="H35" sqref="H35"/>
    </sheetView>
  </sheetViews>
  <sheetFormatPr defaultColWidth="11.5703125" defaultRowHeight="12.75" x14ac:dyDescent="0.2"/>
  <cols>
    <col min="1" max="1" width="12.42578125" style="11" customWidth="1"/>
    <col min="2" max="3" width="11.5703125" style="335"/>
    <col min="4" max="4" width="13.42578125" style="336" customWidth="1"/>
    <col min="5" max="6" width="12.5703125" style="11" customWidth="1"/>
    <col min="7" max="7" width="12.5703125" style="337" customWidth="1"/>
    <col min="8" max="10" width="11.5703125" style="11"/>
    <col min="11" max="11" width="12.5703125" style="337" customWidth="1"/>
    <col min="12" max="12" width="11.5703125" style="11"/>
    <col min="13" max="14" width="11.5703125" style="33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333" customFormat="1" ht="60.75" thickBot="1" x14ac:dyDescent="0.3">
      <c r="A1" s="377" t="s">
        <v>0</v>
      </c>
      <c r="B1" s="378" t="s">
        <v>1</v>
      </c>
      <c r="C1" s="378" t="s">
        <v>2</v>
      </c>
      <c r="D1" s="379" t="s">
        <v>3</v>
      </c>
      <c r="E1" s="380" t="s">
        <v>4</v>
      </c>
      <c r="F1" s="380" t="s">
        <v>5</v>
      </c>
      <c r="G1" s="381" t="s">
        <v>6</v>
      </c>
      <c r="H1" s="380" t="s">
        <v>7</v>
      </c>
      <c r="I1" s="380" t="s">
        <v>8</v>
      </c>
      <c r="J1" s="380" t="s">
        <v>9</v>
      </c>
      <c r="K1" s="381" t="s">
        <v>10</v>
      </c>
      <c r="L1" s="380" t="s">
        <v>11</v>
      </c>
      <c r="M1" s="381" t="s">
        <v>12</v>
      </c>
      <c r="N1" s="381" t="s">
        <v>13</v>
      </c>
      <c r="O1" s="381" t="s">
        <v>13</v>
      </c>
      <c r="P1" s="381" t="s">
        <v>14</v>
      </c>
      <c r="Q1" s="381" t="s">
        <v>15</v>
      </c>
      <c r="R1" s="381" t="s">
        <v>16</v>
      </c>
      <c r="S1" s="381" t="s">
        <v>17</v>
      </c>
      <c r="T1" s="381" t="s">
        <v>18</v>
      </c>
      <c r="U1" s="381" t="s">
        <v>19</v>
      </c>
      <c r="V1" s="381" t="s">
        <v>20</v>
      </c>
      <c r="W1" s="383" t="s">
        <v>21</v>
      </c>
      <c r="X1" s="384" t="s">
        <v>22</v>
      </c>
    </row>
    <row r="2" spans="1:24" x14ac:dyDescent="0.2">
      <c r="A2" s="372" t="s">
        <v>23</v>
      </c>
      <c r="B2" s="373">
        <v>1</v>
      </c>
      <c r="C2" s="373">
        <v>12</v>
      </c>
      <c r="D2" s="374">
        <v>2021</v>
      </c>
      <c r="E2" s="375">
        <f>'UTILITY REPORT 1'!I3</f>
        <v>55.309999999999995</v>
      </c>
      <c r="F2" s="375">
        <f>'UTILITY REPORT 1'!E3</f>
        <v>1340.69</v>
      </c>
      <c r="G2" s="376">
        <f>'UTILITY REPORT 1'!F3</f>
        <v>3130</v>
      </c>
      <c r="H2" s="375">
        <f>IF('Kit report'!F4&lt;0,"0",'Kit report'!F4)</f>
        <v>240</v>
      </c>
      <c r="I2" s="375">
        <f>IF('Kit report'!X4&lt;0,"0",'Kit report'!X4)</f>
        <v>0</v>
      </c>
      <c r="J2" s="375">
        <f>IF('Utility summery'!H6&lt;0,"0",'Utility summery'!H6)</f>
        <v>73</v>
      </c>
      <c r="K2" s="376">
        <f>IF('UTILITY REPORT 1'!H3&lt;0,"0",'UTILITY REPORT 1'!H3)</f>
        <v>35</v>
      </c>
      <c r="L2" s="375">
        <f>'Water-Meter'!K6</f>
        <v>1</v>
      </c>
      <c r="M2" s="376">
        <f>'Water-Meter'!H6</f>
        <v>0</v>
      </c>
      <c r="N2" s="376">
        <f>'Water-Meter'!Q6</f>
        <v>7</v>
      </c>
      <c r="O2" s="375" t="e">
        <f>K2*E2+H2*I2+#REF!*#REF!+J2*L2</f>
        <v>#REF!</v>
      </c>
      <c r="P2" s="375">
        <f>'Water-Meter'!E6</f>
        <v>79</v>
      </c>
      <c r="Q2" s="325">
        <f>IF('Water-Meter'!U6&lt;0,"0",'Water-Meter'!U6)</f>
        <v>35</v>
      </c>
      <c r="R2" s="325">
        <f>IF('Water-Meter'!X6&lt;0,"0",'Water-Meter'!X6)</f>
        <v>0</v>
      </c>
      <c r="S2" s="325">
        <f>IF('Water-Meter'!AA6&lt;0,"0",'Water-Meter'!AA6)</f>
        <v>36</v>
      </c>
      <c r="T2" s="325">
        <f>IF('Water-Meter'!AD6&lt;0,"0",'Water-Meter'!AD6)</f>
        <v>26</v>
      </c>
      <c r="U2" s="325">
        <f>IF('Water-Meter'!AG6&lt;0,"0",'Water-Meter'!AG6)</f>
        <v>0</v>
      </c>
      <c r="V2" s="325">
        <f>IF('Water-Meter'!AJ6&lt;0,"0",'Water-Meter'!AJ6)</f>
        <v>35</v>
      </c>
      <c r="W2" s="21">
        <f>'Water-Meter'!AN6</f>
        <v>132</v>
      </c>
      <c r="X2" s="337">
        <v>6</v>
      </c>
    </row>
    <row r="3" spans="1:24" x14ac:dyDescent="0.2">
      <c r="A3" s="371" t="s">
        <v>23</v>
      </c>
      <c r="B3" s="368">
        <f>B2+1</f>
        <v>2</v>
      </c>
      <c r="C3" s="373">
        <v>12</v>
      </c>
      <c r="D3" s="374">
        <v>2021</v>
      </c>
      <c r="E3" s="369">
        <f>'UTILITY REPORT 1'!I4</f>
        <v>596.04</v>
      </c>
      <c r="F3" s="369">
        <f>'UTILITY REPORT 1'!E4</f>
        <v>1268.81</v>
      </c>
      <c r="G3" s="370">
        <f>'UTILITY REPORT 1'!F4</f>
        <v>3105</v>
      </c>
      <c r="H3" s="369">
        <f>IF('Kit report'!F5&lt;0,"0",'Kit report'!F5)</f>
        <v>240</v>
      </c>
      <c r="I3" s="369">
        <f>IF('Kit report'!X5&lt;0,"0",'Kit report'!X5)</f>
        <v>440.00000000014552</v>
      </c>
      <c r="J3" s="369">
        <f>IF('Utility summery'!H7&lt;0,"0",'Utility summery'!H7)</f>
        <v>69</v>
      </c>
      <c r="K3" s="370">
        <f>IF('UTILITY REPORT 1'!H4&lt;0,"0",'UTILITY REPORT 1'!H4)</f>
        <v>61</v>
      </c>
      <c r="L3" s="369">
        <f>'Water-Meter'!K7</f>
        <v>2</v>
      </c>
      <c r="M3" s="370">
        <f>'Water-Meter'!H7</f>
        <v>0</v>
      </c>
      <c r="N3" s="370">
        <f>'Water-Meter'!Q7</f>
        <v>5</v>
      </c>
      <c r="O3" s="369" t="e">
        <f>K3*E3+H3*I3+#REF!*#REF!+J3*L3</f>
        <v>#REF!</v>
      </c>
      <c r="P3" s="375">
        <f>'Water-Meter'!E7</f>
        <v>67</v>
      </c>
      <c r="Q3" s="207">
        <f>IF('Water-Meter'!U7&lt;0,"0",'Water-Meter'!U7)</f>
        <v>0</v>
      </c>
      <c r="R3" s="207">
        <f>IF('Water-Meter'!X7&lt;0,"0",'Water-Meter'!X7)</f>
        <v>0</v>
      </c>
      <c r="S3" s="207">
        <f>IF('Water-Meter'!AA7&lt;0,"0",'Water-Meter'!AA7)</f>
        <v>37</v>
      </c>
      <c r="T3" s="207">
        <f>IF('Water-Meter'!AD7&lt;0,"0",'Water-Meter'!AD7)</f>
        <v>1</v>
      </c>
      <c r="U3" s="207">
        <f>IF('Water-Meter'!AG7&lt;0,"0",'Water-Meter'!AG7)</f>
        <v>0</v>
      </c>
      <c r="V3" s="207">
        <f>IF('Water-Meter'!AJ7&lt;0,"0",'Water-Meter'!AJ7)</f>
        <v>36</v>
      </c>
      <c r="W3" s="21">
        <f>'Water-Meter'!AN7</f>
        <v>74</v>
      </c>
      <c r="X3" s="337">
        <v>5</v>
      </c>
    </row>
    <row r="4" spans="1:24" x14ac:dyDescent="0.2">
      <c r="A4" s="371" t="s">
        <v>23</v>
      </c>
      <c r="B4" s="368">
        <f t="shared" ref="B4:B30" si="0">B3+1</f>
        <v>3</v>
      </c>
      <c r="C4" s="373">
        <v>12</v>
      </c>
      <c r="D4" s="374">
        <v>2021</v>
      </c>
      <c r="E4" s="369">
        <f>'UTILITY REPORT 1'!I5</f>
        <v>0</v>
      </c>
      <c r="F4" s="369">
        <f>'UTILITY REPORT 1'!E5</f>
        <v>1177.17</v>
      </c>
      <c r="G4" s="370">
        <f>'UTILITY REPORT 1'!F5</f>
        <v>2910</v>
      </c>
      <c r="H4" s="369">
        <f>IF('Kit report'!F6&lt;0,"0",'Kit report'!F6)</f>
        <v>251.99999999982538</v>
      </c>
      <c r="I4" s="369">
        <f>IF('Kit report'!X6&lt;0,"0",'Kit report'!X6)</f>
        <v>320.00000000007276</v>
      </c>
      <c r="J4" s="369">
        <f>IF('Utility summery'!H8&lt;0,"0",'Utility summery'!H8)</f>
        <v>70</v>
      </c>
      <c r="K4" s="370">
        <f>IF('UTILITY REPORT 1'!H5&lt;0,"0",'UTILITY REPORT 1'!H5)</f>
        <v>50</v>
      </c>
      <c r="L4" s="369">
        <f>'Water-Meter'!K8</f>
        <v>2</v>
      </c>
      <c r="M4" s="370">
        <f>'Water-Meter'!H8</f>
        <v>0</v>
      </c>
      <c r="N4" s="370">
        <f>'Water-Meter'!Q8</f>
        <v>3</v>
      </c>
      <c r="O4" s="369" t="e">
        <f>K4*E4+H4*I4+#REF!*#REF!+J4*L4</f>
        <v>#REF!</v>
      </c>
      <c r="P4" s="375">
        <f>'Water-Meter'!E8</f>
        <v>83</v>
      </c>
      <c r="Q4" s="207">
        <f>IF('Water-Meter'!U8&lt;0,"0",'Water-Meter'!U8)</f>
        <v>0</v>
      </c>
      <c r="R4" s="207">
        <f>IF('Water-Meter'!X8&lt;0,"0",'Water-Meter'!X8)</f>
        <v>0</v>
      </c>
      <c r="S4" s="207">
        <f>IF('Water-Meter'!AA8&lt;0,"0",'Water-Meter'!AA8)</f>
        <v>38</v>
      </c>
      <c r="T4" s="207">
        <f>IF('Water-Meter'!AD8&lt;0,"0",'Water-Meter'!AD8)</f>
        <v>10</v>
      </c>
      <c r="U4" s="207">
        <f>IF('Water-Meter'!AG8&lt;0,"0",'Water-Meter'!AG8)</f>
        <v>0</v>
      </c>
      <c r="V4" s="207">
        <f>IF('Water-Meter'!AJ8&lt;0,"0",'Water-Meter'!AJ8)</f>
        <v>36</v>
      </c>
      <c r="W4" s="21">
        <f>'Water-Meter'!AN8</f>
        <v>84</v>
      </c>
      <c r="X4" s="337">
        <v>3</v>
      </c>
    </row>
    <row r="5" spans="1:24" x14ac:dyDescent="0.2">
      <c r="A5" s="371" t="s">
        <v>23</v>
      </c>
      <c r="B5" s="368">
        <f t="shared" si="0"/>
        <v>4</v>
      </c>
      <c r="C5" s="373">
        <v>12</v>
      </c>
      <c r="D5" s="374">
        <v>2021</v>
      </c>
      <c r="E5" s="369">
        <f>'UTILITY REPORT 1'!I6</f>
        <v>199.51</v>
      </c>
      <c r="F5" s="369">
        <f>'UTILITY REPORT 1'!E6</f>
        <v>1293.22</v>
      </c>
      <c r="G5" s="370">
        <f>'UTILITY REPORT 1'!F6</f>
        <v>3289</v>
      </c>
      <c r="H5" s="369">
        <f>IF('Kit report'!F7&lt;0,"0",'Kit report'!F7)</f>
        <v>276.00000000013097</v>
      </c>
      <c r="I5" s="369">
        <f>IF('Kit report'!X7&lt;0,"0",'Kit report'!X7)</f>
        <v>339.99999999978172</v>
      </c>
      <c r="J5" s="369">
        <f>IF('Utility summery'!H9&lt;0,"0",'Utility summery'!H9)</f>
        <v>63</v>
      </c>
      <c r="K5" s="370">
        <f>IF('UTILITY REPORT 1'!H6&lt;0,"0",'UTILITY REPORT 1'!H6)</f>
        <v>89</v>
      </c>
      <c r="L5" s="369">
        <f>'Water-Meter'!K9</f>
        <v>13</v>
      </c>
      <c r="M5" s="370">
        <f>'Water-Meter'!H9</f>
        <v>0</v>
      </c>
      <c r="N5" s="370">
        <f>'Water-Meter'!Q9</f>
        <v>5</v>
      </c>
      <c r="O5" s="369" t="e">
        <f>K5*E5+H5*I5+#REF!*#REF!+J5*L5</f>
        <v>#REF!</v>
      </c>
      <c r="P5" s="375">
        <f>'Water-Meter'!E9</f>
        <v>67</v>
      </c>
      <c r="Q5" s="207">
        <f>IF('Water-Meter'!U9&lt;0,"0",'Water-Meter'!U9)</f>
        <v>0</v>
      </c>
      <c r="R5" s="207">
        <f>IF('Water-Meter'!X9&lt;0,"0",'Water-Meter'!X9)</f>
        <v>0</v>
      </c>
      <c r="S5" s="207">
        <f>IF('Water-Meter'!AA9&lt;0,"0",'Water-Meter'!AA9)</f>
        <v>33</v>
      </c>
      <c r="T5" s="207">
        <f>IF('Water-Meter'!AD9&lt;0,"0",'Water-Meter'!AD9)</f>
        <v>15</v>
      </c>
      <c r="U5" s="207">
        <f>IF('Water-Meter'!AG9&lt;0,"0",'Water-Meter'!AG9)</f>
        <v>0</v>
      </c>
      <c r="V5" s="207">
        <f>IF('Water-Meter'!AJ9&lt;0,"0",'Water-Meter'!AJ9)</f>
        <v>33</v>
      </c>
      <c r="W5" s="21">
        <f>'Water-Meter'!AN9</f>
        <v>81</v>
      </c>
      <c r="X5" s="337">
        <v>8</v>
      </c>
    </row>
    <row r="6" spans="1:24" x14ac:dyDescent="0.2">
      <c r="A6" s="371" t="s">
        <v>23</v>
      </c>
      <c r="B6" s="368">
        <f t="shared" si="0"/>
        <v>5</v>
      </c>
      <c r="C6" s="373">
        <v>12</v>
      </c>
      <c r="D6" s="374">
        <v>2021</v>
      </c>
      <c r="E6" s="369">
        <f>'UTILITY REPORT 1'!I7</f>
        <v>53.33</v>
      </c>
      <c r="F6" s="369">
        <f>'UTILITY REPORT 1'!E7</f>
        <v>1246.93</v>
      </c>
      <c r="G6" s="370">
        <f>'UTILITY REPORT 1'!F7</f>
        <v>3146</v>
      </c>
      <c r="H6" s="369">
        <f>IF('Kit report'!F8&lt;0,"0",'Kit report'!F8)</f>
        <v>215.99999999991269</v>
      </c>
      <c r="I6" s="369">
        <f>IF('Kit report'!X8&lt;0,"0",'Kit report'!X8)</f>
        <v>300</v>
      </c>
      <c r="J6" s="369">
        <f>IF('Utility summery'!H10&lt;0,"0",'Utility summery'!H10)</f>
        <v>47</v>
      </c>
      <c r="K6" s="370">
        <f>IF('UTILITY REPORT 1'!H7&lt;0,"0",'UTILITY REPORT 1'!H7)</f>
        <v>103</v>
      </c>
      <c r="L6" s="369">
        <f>'Water-Meter'!K10</f>
        <v>6</v>
      </c>
      <c r="M6" s="370">
        <f>'Water-Meter'!H10</f>
        <v>0</v>
      </c>
      <c r="N6" s="370">
        <f>'Water-Meter'!Q10</f>
        <v>4</v>
      </c>
      <c r="O6" s="369" t="e">
        <f>K6*E6+H6*I6+#REF!*#REF!+J6*L6</f>
        <v>#REF!</v>
      </c>
      <c r="P6" s="375">
        <f>'Water-Meter'!E10</f>
        <v>62</v>
      </c>
      <c r="Q6" s="207">
        <f>IF('Water-Meter'!U10&lt;0,"0",'Water-Meter'!U10)</f>
        <v>0</v>
      </c>
      <c r="R6" s="207">
        <f>IF('Water-Meter'!X10&lt;0,"0",'Water-Meter'!X10)</f>
        <v>0</v>
      </c>
      <c r="S6" s="207">
        <f>IF('Water-Meter'!AA10&lt;0,"0",'Water-Meter'!AA10)</f>
        <v>35</v>
      </c>
      <c r="T6" s="207">
        <f>IF('Water-Meter'!AD10&lt;0,"0",'Water-Meter'!AD10)</f>
        <v>14</v>
      </c>
      <c r="U6" s="207">
        <f>IF('Water-Meter'!AG10&lt;0,"0",'Water-Meter'!AG10)</f>
        <v>0</v>
      </c>
      <c r="V6" s="207">
        <f>IF('Water-Meter'!AJ10&lt;0,"0",'Water-Meter'!AJ10)</f>
        <v>35</v>
      </c>
      <c r="W6" s="21">
        <f>'Water-Meter'!AN10</f>
        <v>84</v>
      </c>
      <c r="X6" s="337">
        <v>6</v>
      </c>
    </row>
    <row r="7" spans="1:24" x14ac:dyDescent="0.2">
      <c r="A7" s="371" t="s">
        <v>23</v>
      </c>
      <c r="B7" s="368">
        <f t="shared" si="0"/>
        <v>6</v>
      </c>
      <c r="C7" s="373">
        <v>12</v>
      </c>
      <c r="D7" s="374">
        <v>2021</v>
      </c>
      <c r="E7" s="369">
        <f>'UTILITY REPORT 1'!I8</f>
        <v>67.400000000000006</v>
      </c>
      <c r="F7" s="369">
        <f>'UTILITY REPORT 1'!E8</f>
        <v>1325.89</v>
      </c>
      <c r="G7" s="370">
        <f>'UTILITY REPORT 1'!F8</f>
        <v>3361</v>
      </c>
      <c r="H7" s="369">
        <f>IF('Kit report'!F9&lt;0,"0",'Kit report'!F9)</f>
        <v>227.99999999995634</v>
      </c>
      <c r="I7" s="369">
        <f>IF('Kit report'!X9&lt;0,"0",'Kit report'!X9)</f>
        <v>320.00000000007276</v>
      </c>
      <c r="J7" s="369">
        <f>IF('Utility summery'!H11&lt;0,"0",'Utility summery'!H11)</f>
        <v>53</v>
      </c>
      <c r="K7" s="370">
        <f>IF('UTILITY REPORT 1'!H8&lt;0,"0",'UTILITY REPORT 1'!H8)</f>
        <v>17</v>
      </c>
      <c r="L7" s="369">
        <f>'Water-Meter'!K11</f>
        <v>2</v>
      </c>
      <c r="M7" s="370">
        <f>'Water-Meter'!H11</f>
        <v>0</v>
      </c>
      <c r="N7" s="370">
        <f>'Water-Meter'!Q11</f>
        <v>5</v>
      </c>
      <c r="O7" s="369" t="e">
        <f>K7*E7+H7*I7+#REF!*#REF!+J7*L7</f>
        <v>#REF!</v>
      </c>
      <c r="P7" s="375">
        <f>'Water-Meter'!E11</f>
        <v>57</v>
      </c>
      <c r="Q7" s="207">
        <f>IF('Water-Meter'!U11&lt;0,"0",'Water-Meter'!U11)</f>
        <v>0</v>
      </c>
      <c r="R7" s="207">
        <f>IF('Water-Meter'!X11&lt;0,"0",'Water-Meter'!X11)</f>
        <v>0</v>
      </c>
      <c r="S7" s="207">
        <f>IF('Water-Meter'!AA11&lt;0,"0",'Water-Meter'!AA11)</f>
        <v>35</v>
      </c>
      <c r="T7" s="207">
        <f>IF('Water-Meter'!AD11&lt;0,"0",'Water-Meter'!AD11)</f>
        <v>2</v>
      </c>
      <c r="U7" s="207">
        <f>IF('Water-Meter'!AG11&lt;0,"0",'Water-Meter'!AG11)</f>
        <v>0</v>
      </c>
      <c r="V7" s="207">
        <f>IF('Water-Meter'!AJ11&lt;0,"0",'Water-Meter'!AJ11)</f>
        <v>35</v>
      </c>
      <c r="W7" s="21">
        <f>'Water-Meter'!AN11</f>
        <v>72</v>
      </c>
      <c r="X7" s="337">
        <v>9</v>
      </c>
    </row>
    <row r="8" spans="1:24" x14ac:dyDescent="0.2">
      <c r="A8" s="371" t="s">
        <v>23</v>
      </c>
      <c r="B8" s="368">
        <f t="shared" si="0"/>
        <v>7</v>
      </c>
      <c r="C8" s="373">
        <v>12</v>
      </c>
      <c r="D8" s="374">
        <v>2021</v>
      </c>
      <c r="E8" s="369">
        <f>'UTILITY REPORT 1'!I9</f>
        <v>135.94</v>
      </c>
      <c r="F8" s="369">
        <f>'UTILITY REPORT 1'!E9</f>
        <v>1368.94</v>
      </c>
      <c r="G8" s="370">
        <f>'UTILITY REPORT 1'!F9</f>
        <v>3380</v>
      </c>
      <c r="H8" s="369">
        <f>IF('Kit report'!F10&lt;0,"0",'Kit report'!F10)</f>
        <v>228.00000000017462</v>
      </c>
      <c r="I8" s="369">
        <f>IF('Kit report'!X10&lt;0,"0",'Kit report'!X10)</f>
        <v>320.00000000007276</v>
      </c>
      <c r="J8" s="369">
        <f>IF('Utility summery'!H12&lt;0,"0",'Utility summery'!H12)</f>
        <v>50</v>
      </c>
      <c r="K8" s="370">
        <f>IF('UTILITY REPORT 1'!H9&lt;0,"0",'UTILITY REPORT 1'!H9)</f>
        <v>121</v>
      </c>
      <c r="L8" s="369">
        <f>'Water-Meter'!K12</f>
        <v>3</v>
      </c>
      <c r="M8" s="370">
        <f>'Water-Meter'!H12</f>
        <v>0</v>
      </c>
      <c r="N8" s="370">
        <f>'Water-Meter'!Q12</f>
        <v>7</v>
      </c>
      <c r="O8" s="369" t="e">
        <f>K8*E8+H8*I8+#REF!*#REF!+J8*L8</f>
        <v>#REF!</v>
      </c>
      <c r="P8" s="375">
        <f>'Water-Meter'!E12</f>
        <v>73</v>
      </c>
      <c r="Q8" s="207">
        <f>IF('Water-Meter'!U12&lt;0,"0",'Water-Meter'!U12)</f>
        <v>0</v>
      </c>
      <c r="R8" s="207">
        <f>IF('Water-Meter'!X12&lt;0,"0",'Water-Meter'!X12)</f>
        <v>0</v>
      </c>
      <c r="S8" s="207">
        <f>IF('Water-Meter'!AA12&lt;0,"0",'Water-Meter'!AA12)</f>
        <v>37</v>
      </c>
      <c r="T8" s="207">
        <f>IF('Water-Meter'!AD12&lt;0,"0",'Water-Meter'!AD12)</f>
        <v>0</v>
      </c>
      <c r="U8" s="207">
        <f>IF('Water-Meter'!AG12&lt;0,"0",'Water-Meter'!AG12)</f>
        <v>0</v>
      </c>
      <c r="V8" s="207">
        <f>IF('Water-Meter'!AJ12&lt;0,"0",'Water-Meter'!AJ12)</f>
        <v>35</v>
      </c>
      <c r="W8" s="21">
        <f>'Water-Meter'!AN12</f>
        <v>72</v>
      </c>
      <c r="X8" s="337">
        <v>9</v>
      </c>
    </row>
    <row r="9" spans="1:24" x14ac:dyDescent="0.2">
      <c r="A9" s="371" t="s">
        <v>23</v>
      </c>
      <c r="B9" s="368">
        <f t="shared" si="0"/>
        <v>8</v>
      </c>
      <c r="C9" s="373">
        <v>12</v>
      </c>
      <c r="D9" s="374">
        <v>2021</v>
      </c>
      <c r="E9" s="369">
        <f>'UTILITY REPORT 1'!I10</f>
        <v>83.59</v>
      </c>
      <c r="F9" s="369">
        <f>'UTILITY REPORT 1'!E10</f>
        <v>1527.6</v>
      </c>
      <c r="G9" s="370">
        <f>'UTILITY REPORT 1'!F10</f>
        <v>3662</v>
      </c>
      <c r="H9" s="369">
        <f>IF('Kit report'!F11&lt;0,"0",'Kit report'!F11)</f>
        <v>240</v>
      </c>
      <c r="I9" s="369">
        <f>IF('Kit report'!X11&lt;0,"0",'Kit report'!X11)</f>
        <v>440.00000000014552</v>
      </c>
      <c r="J9" s="369">
        <f>IF('Utility summery'!H13&lt;0,"0",'Utility summery'!H13)</f>
        <v>63</v>
      </c>
      <c r="K9" s="370">
        <f>IF('UTILITY REPORT 1'!H10&lt;0,"0",'UTILITY REPORT 1'!H10)</f>
        <v>170</v>
      </c>
      <c r="L9" s="369">
        <f>'Water-Meter'!K13</f>
        <v>3</v>
      </c>
      <c r="M9" s="370">
        <f>'Water-Meter'!H13</f>
        <v>0</v>
      </c>
      <c r="N9" s="370">
        <f>'Water-Meter'!Q13</f>
        <v>6</v>
      </c>
      <c r="O9" s="369" t="e">
        <f>K9*E9+H9*I9+#REF!*#REF!+J9*L9</f>
        <v>#REF!</v>
      </c>
      <c r="P9" s="375">
        <f>'Water-Meter'!E13</f>
        <v>80</v>
      </c>
      <c r="Q9" s="207">
        <f>IF('Water-Meter'!U13&lt;0,"0",'Water-Meter'!U13)</f>
        <v>74</v>
      </c>
      <c r="R9" s="207">
        <f>IF('Water-Meter'!X13&lt;0,"0",'Water-Meter'!X13)</f>
        <v>0</v>
      </c>
      <c r="S9" s="207">
        <f>IF('Water-Meter'!AA13&lt;0,"0",'Water-Meter'!AA13)</f>
        <v>35</v>
      </c>
      <c r="T9" s="207">
        <f>IF('Water-Meter'!AD13&lt;0,"0",'Water-Meter'!AD13)</f>
        <v>0</v>
      </c>
      <c r="U9" s="207">
        <f>IF('Water-Meter'!AG13&lt;0,"0",'Water-Meter'!AG13)</f>
        <v>0</v>
      </c>
      <c r="V9" s="207">
        <f>IF('Water-Meter'!AJ13&lt;0,"0",'Water-Meter'!AJ13)</f>
        <v>35</v>
      </c>
      <c r="W9" s="21">
        <f>'Water-Meter'!AN13</f>
        <v>144</v>
      </c>
      <c r="X9" s="337">
        <v>12</v>
      </c>
    </row>
    <row r="10" spans="1:24" x14ac:dyDescent="0.2">
      <c r="A10" s="371" t="s">
        <v>23</v>
      </c>
      <c r="B10" s="368">
        <f t="shared" si="0"/>
        <v>9</v>
      </c>
      <c r="C10" s="373">
        <v>12</v>
      </c>
      <c r="D10" s="374">
        <v>2021</v>
      </c>
      <c r="E10" s="369">
        <f>'UTILITY REPORT 1'!I11</f>
        <v>51.98</v>
      </c>
      <c r="F10" s="369">
        <f>'UTILITY REPORT 1'!E11</f>
        <v>1371.66</v>
      </c>
      <c r="G10" s="370">
        <f>'UTILITY REPORT 1'!F11</f>
        <v>3399</v>
      </c>
      <c r="H10" s="369">
        <f>IF('Kit report'!F12&lt;0,"0",'Kit report'!F12)</f>
        <v>240</v>
      </c>
      <c r="I10" s="369">
        <f>IF('Kit report'!X12&lt;0,"0",'Kit report'!X12)</f>
        <v>319.99999999970896</v>
      </c>
      <c r="J10" s="369">
        <f>IF('Utility summery'!H14&lt;0,"0",'Utility summery'!H14)</f>
        <v>55</v>
      </c>
      <c r="K10" s="370">
        <f>IF('UTILITY REPORT 1'!H11&lt;0,"0",'UTILITY REPORT 1'!H11)</f>
        <v>0</v>
      </c>
      <c r="L10" s="369">
        <f>'Water-Meter'!K14</f>
        <v>2</v>
      </c>
      <c r="M10" s="370">
        <f>'Water-Meter'!H14</f>
        <v>0</v>
      </c>
      <c r="N10" s="370">
        <f>'Water-Meter'!Q14</f>
        <v>3</v>
      </c>
      <c r="O10" s="369" t="e">
        <f>K10*E10+H10*I10+#REF!*#REF!+J10*L10</f>
        <v>#REF!</v>
      </c>
      <c r="P10" s="375">
        <f>'Water-Meter'!E14</f>
        <v>65</v>
      </c>
      <c r="Q10" s="207">
        <f>IF('Water-Meter'!U14&lt;0,"0",'Water-Meter'!U14)</f>
        <v>68</v>
      </c>
      <c r="R10" s="207">
        <f>IF('Water-Meter'!X14&lt;0,"0",'Water-Meter'!X14)</f>
        <v>0</v>
      </c>
      <c r="S10" s="207">
        <f>IF('Water-Meter'!AA14&lt;0,"0",'Water-Meter'!AA14)</f>
        <v>34</v>
      </c>
      <c r="T10" s="207">
        <f>IF('Water-Meter'!AD14&lt;0,"0",'Water-Meter'!AD14)</f>
        <v>0</v>
      </c>
      <c r="U10" s="207">
        <f>IF('Water-Meter'!AG14&lt;0,"0",'Water-Meter'!AG14)</f>
        <v>0</v>
      </c>
      <c r="V10" s="207">
        <f>IF('Water-Meter'!AJ14&lt;0,"0",'Water-Meter'!AJ14)</f>
        <v>33</v>
      </c>
      <c r="W10" s="21">
        <f>'Water-Meter'!AN14</f>
        <v>135</v>
      </c>
      <c r="X10" s="337">
        <v>10</v>
      </c>
    </row>
    <row r="11" spans="1:24" x14ac:dyDescent="0.2">
      <c r="A11" s="371" t="s">
        <v>23</v>
      </c>
      <c r="B11" s="368">
        <f t="shared" si="0"/>
        <v>10</v>
      </c>
      <c r="C11" s="373">
        <v>12</v>
      </c>
      <c r="D11" s="374">
        <v>2021</v>
      </c>
      <c r="E11" s="369">
        <f>'UTILITY REPORT 1'!I12</f>
        <v>448.65</v>
      </c>
      <c r="F11" s="369">
        <f>'UTILITY REPORT 1'!E12</f>
        <v>1347.33</v>
      </c>
      <c r="G11" s="370">
        <f>'UTILITY REPORT 1'!F12</f>
        <v>3440</v>
      </c>
      <c r="H11" s="369">
        <f>IF('Kit report'!F13&lt;0,"0",'Kit report'!F13)</f>
        <v>251.99999999982538</v>
      </c>
      <c r="I11" s="369">
        <f>IF('Kit report'!X13&lt;0,"0",'Kit report'!X13)</f>
        <v>380.00000000029104</v>
      </c>
      <c r="J11" s="369">
        <f>IF('Utility summery'!H15&lt;0,"0",'Utility summery'!H15)</f>
        <v>54</v>
      </c>
      <c r="K11" s="370">
        <f>IF('UTILITY REPORT 1'!H12&lt;0,"0",'UTILITY REPORT 1'!H12)</f>
        <v>167</v>
      </c>
      <c r="L11" s="369">
        <f>'Water-Meter'!K15</f>
        <v>1</v>
      </c>
      <c r="M11" s="370">
        <f>'Water-Meter'!H15</f>
        <v>0</v>
      </c>
      <c r="N11" s="370">
        <f>'Water-Meter'!Q15</f>
        <v>6</v>
      </c>
      <c r="O11" s="369" t="e">
        <f>K11*E11+H11*I11+#REF!*#REF!+J11*L11</f>
        <v>#REF!</v>
      </c>
      <c r="P11" s="375">
        <f>'Water-Meter'!E15</f>
        <v>71</v>
      </c>
      <c r="Q11" s="207">
        <f>IF('Water-Meter'!U15&lt;0,"0",'Water-Meter'!U15)</f>
        <v>73</v>
      </c>
      <c r="R11" s="207">
        <f>IF('Water-Meter'!X15&lt;0,"0",'Water-Meter'!X15)</f>
        <v>0</v>
      </c>
      <c r="S11" s="207">
        <f>IF('Water-Meter'!AA15&lt;0,"0",'Water-Meter'!AA15)</f>
        <v>37</v>
      </c>
      <c r="T11" s="207">
        <f>IF('Water-Meter'!AD15&lt;0,"0",'Water-Meter'!AD15)</f>
        <v>0</v>
      </c>
      <c r="U11" s="207">
        <f>IF('Water-Meter'!AG15&lt;0,"0",'Water-Meter'!AG15)</f>
        <v>0</v>
      </c>
      <c r="V11" s="207">
        <f>IF('Water-Meter'!AJ15&lt;0,"0",'Water-Meter'!AJ15)</f>
        <v>36</v>
      </c>
      <c r="W11" s="21">
        <f>'Water-Meter'!AN15</f>
        <v>146</v>
      </c>
      <c r="X11" s="337">
        <v>12</v>
      </c>
    </row>
    <row r="12" spans="1:24" x14ac:dyDescent="0.2">
      <c r="A12" s="371" t="s">
        <v>23</v>
      </c>
      <c r="B12" s="368">
        <f t="shared" si="0"/>
        <v>11</v>
      </c>
      <c r="C12" s="373">
        <v>12</v>
      </c>
      <c r="D12" s="374">
        <v>2021</v>
      </c>
      <c r="E12" s="369">
        <f>'UTILITY REPORT 1'!I13</f>
        <v>37.869999999999997</v>
      </c>
      <c r="F12" s="369">
        <f>'UTILITY REPORT 1'!E13</f>
        <v>1512.79</v>
      </c>
      <c r="G12" s="370">
        <f>'UTILITY REPORT 1'!F13</f>
        <v>3696</v>
      </c>
      <c r="H12" s="369">
        <f>IF('Kit report'!F14&lt;0,"0",'Kit report'!F14)</f>
        <v>228.00000000017462</v>
      </c>
      <c r="I12" s="369">
        <f>IF('Kit report'!X14&lt;0,"0",'Kit report'!X14)</f>
        <v>339.99999999978172</v>
      </c>
      <c r="J12" s="369">
        <f>IF('Utility summery'!H16&lt;0,"0",'Utility summery'!H16)</f>
        <v>60</v>
      </c>
      <c r="K12" s="370">
        <f>IF('UTILITY REPORT 1'!H13&lt;0,"0",'UTILITY REPORT 1'!H13)</f>
        <v>15</v>
      </c>
      <c r="L12" s="369">
        <f>'Water-Meter'!K16</f>
        <v>2</v>
      </c>
      <c r="M12" s="370">
        <f>'Water-Meter'!H16</f>
        <v>0</v>
      </c>
      <c r="N12" s="370">
        <f>'Water-Meter'!Q16</f>
        <v>4</v>
      </c>
      <c r="O12" s="369" t="e">
        <f>K12*E12+H12*I12+#REF!*#REF!+J12*L12</f>
        <v>#REF!</v>
      </c>
      <c r="P12" s="375">
        <f>'Water-Meter'!E16</f>
        <v>72</v>
      </c>
      <c r="Q12" s="207">
        <f>IF('Water-Meter'!U16&lt;0,"0",'Water-Meter'!U16)</f>
        <v>69</v>
      </c>
      <c r="R12" s="207">
        <f>IF('Water-Meter'!X16&lt;0,"0",'Water-Meter'!X16)</f>
        <v>0</v>
      </c>
      <c r="S12" s="207">
        <f>IF('Water-Meter'!AA16&lt;0,"0",'Water-Meter'!AA16)</f>
        <v>36</v>
      </c>
      <c r="T12" s="207">
        <f>IF('Water-Meter'!AD16&lt;0,"0",'Water-Meter'!AD16)</f>
        <v>0</v>
      </c>
      <c r="U12" s="207">
        <f>IF('Water-Meter'!AG16&lt;0,"0",'Water-Meter'!AG16)</f>
        <v>0</v>
      </c>
      <c r="V12" s="207">
        <f>IF('Water-Meter'!AJ16&lt;0,"0",'Water-Meter'!AJ16)</f>
        <v>35</v>
      </c>
      <c r="W12" s="21">
        <f>'Water-Meter'!AN16</f>
        <v>140</v>
      </c>
      <c r="X12" s="337">
        <v>12</v>
      </c>
    </row>
    <row r="13" spans="1:24" x14ac:dyDescent="0.2">
      <c r="A13" s="371" t="s">
        <v>23</v>
      </c>
      <c r="B13" s="368">
        <f t="shared" si="0"/>
        <v>12</v>
      </c>
      <c r="C13" s="373">
        <v>12</v>
      </c>
      <c r="D13" s="374">
        <v>2021</v>
      </c>
      <c r="E13" s="369">
        <f>'UTILITY REPORT 1'!I14</f>
        <v>68.16</v>
      </c>
      <c r="F13" s="369">
        <f>'UTILITY REPORT 1'!E14</f>
        <v>1485.24</v>
      </c>
      <c r="G13" s="370">
        <f>'UTILITY REPORT 1'!F14</f>
        <v>3646</v>
      </c>
      <c r="H13" s="369">
        <f>IF('Kit report'!F15&lt;0,"0",'Kit report'!F15)</f>
        <v>263.99999999986903</v>
      </c>
      <c r="I13" s="369">
        <f>IF('Kit report'!X15&lt;0,"0",'Kit report'!X15)</f>
        <v>440.00000000014552</v>
      </c>
      <c r="J13" s="369">
        <f>IF('Utility summery'!H17&lt;0,"0",'Utility summery'!H17)</f>
        <v>62</v>
      </c>
      <c r="K13" s="370">
        <f>IF('UTILITY REPORT 1'!H14&lt;0,"0",'UTILITY REPORT 1'!H14)</f>
        <v>157</v>
      </c>
      <c r="L13" s="369">
        <f>'Water-Meter'!K17</f>
        <v>2</v>
      </c>
      <c r="M13" s="370">
        <f>'Water-Meter'!H17</f>
        <v>0</v>
      </c>
      <c r="N13" s="370">
        <f>'Water-Meter'!Q17</f>
        <v>5</v>
      </c>
      <c r="O13" s="369" t="e">
        <f>K13*E13+H13*I13+#REF!*#REF!+J13*L13</f>
        <v>#REF!</v>
      </c>
      <c r="P13" s="375">
        <f>'Water-Meter'!E17</f>
        <v>65</v>
      </c>
      <c r="Q13" s="207">
        <f>IF('Water-Meter'!U17&lt;0,"0",'Water-Meter'!U17)</f>
        <v>69</v>
      </c>
      <c r="R13" s="207">
        <f>IF('Water-Meter'!X17&lt;0,"0",'Water-Meter'!X17)</f>
        <v>0</v>
      </c>
      <c r="S13" s="207">
        <f>IF('Water-Meter'!AA17&lt;0,"0",'Water-Meter'!AA17)</f>
        <v>37</v>
      </c>
      <c r="T13" s="207">
        <f>IF('Water-Meter'!AD17&lt;0,"0",'Water-Meter'!AD17)</f>
        <v>0</v>
      </c>
      <c r="U13" s="207">
        <f>IF('Water-Meter'!AG17&lt;0,"0",'Water-Meter'!AG17)</f>
        <v>0</v>
      </c>
      <c r="V13" s="207">
        <f>IF('Water-Meter'!AJ17&lt;0,"0",'Water-Meter'!AJ17)</f>
        <v>35</v>
      </c>
      <c r="W13" s="21">
        <f>'Water-Meter'!AN17</f>
        <v>141</v>
      </c>
      <c r="X13" s="337">
        <v>12</v>
      </c>
    </row>
    <row r="14" spans="1:24" x14ac:dyDescent="0.2">
      <c r="A14" s="371" t="s">
        <v>23</v>
      </c>
      <c r="B14" s="368">
        <f t="shared" si="0"/>
        <v>13</v>
      </c>
      <c r="C14" s="373">
        <v>12</v>
      </c>
      <c r="D14" s="374">
        <v>2021</v>
      </c>
      <c r="E14" s="369">
        <f>'UTILITY REPORT 1'!I15</f>
        <v>103.25</v>
      </c>
      <c r="F14" s="369">
        <f>'UTILITY REPORT 1'!E15</f>
        <v>1579.63</v>
      </c>
      <c r="G14" s="370">
        <f>'UTILITY REPORT 1'!F15</f>
        <v>3967</v>
      </c>
      <c r="H14" s="369">
        <f>IF('Kit report'!F16&lt;0,"0",'Kit report'!F16)</f>
        <v>276.00000000013097</v>
      </c>
      <c r="I14" s="369">
        <f>IF('Kit report'!X16&lt;0,"0",'Kit report'!X16)</f>
        <v>559.99999999985448</v>
      </c>
      <c r="J14" s="369">
        <f>IF('Utility summery'!H18&lt;0,"0",'Utility summery'!H18)</f>
        <v>66</v>
      </c>
      <c r="K14" s="370">
        <f>IF('UTILITY REPORT 1'!H15&lt;0,"0",'UTILITY REPORT 1'!H15)</f>
        <v>44</v>
      </c>
      <c r="L14" s="369">
        <f>'Water-Meter'!K18</f>
        <v>3</v>
      </c>
      <c r="M14" s="370">
        <f>'Water-Meter'!H18</f>
        <v>0</v>
      </c>
      <c r="N14" s="370">
        <f>'Water-Meter'!Q18</f>
        <v>7</v>
      </c>
      <c r="O14" s="369" t="e">
        <f>K14*E14+H14*I14+#REF!*#REF!+J14*L14</f>
        <v>#REF!</v>
      </c>
      <c r="P14" s="375">
        <f>'Water-Meter'!E18</f>
        <v>68</v>
      </c>
      <c r="Q14" s="207">
        <f>IF('Water-Meter'!U18&lt;0,"0",'Water-Meter'!U18)</f>
        <v>69</v>
      </c>
      <c r="R14" s="207">
        <f>IF('Water-Meter'!X18&lt;0,"0",'Water-Meter'!X18)</f>
        <v>0</v>
      </c>
      <c r="S14" s="207">
        <f>IF('Water-Meter'!AA18&lt;0,"0",'Water-Meter'!AA18)</f>
        <v>39</v>
      </c>
      <c r="T14" s="207">
        <f>IF('Water-Meter'!AD18&lt;0,"0",'Water-Meter'!AD18)</f>
        <v>0</v>
      </c>
      <c r="U14" s="207">
        <f>IF('Water-Meter'!AG18&lt;0,"0",'Water-Meter'!AG18)</f>
        <v>0</v>
      </c>
      <c r="V14" s="207">
        <f>IF('Water-Meter'!AJ18&lt;0,"0",'Water-Meter'!AJ18)</f>
        <v>38</v>
      </c>
      <c r="W14" s="21">
        <f>'Water-Meter'!AN18</f>
        <v>146</v>
      </c>
      <c r="X14" s="337">
        <v>15</v>
      </c>
    </row>
    <row r="15" spans="1:24" x14ac:dyDescent="0.2">
      <c r="A15" s="371" t="s">
        <v>23</v>
      </c>
      <c r="B15" s="368">
        <f t="shared" si="0"/>
        <v>14</v>
      </c>
      <c r="C15" s="373">
        <v>12</v>
      </c>
      <c r="D15" s="374">
        <v>2021</v>
      </c>
      <c r="E15" s="369">
        <f>'UTILITY REPORT 1'!I16</f>
        <v>194.5</v>
      </c>
      <c r="F15" s="369">
        <f>'UTILITY REPORT 1'!E16</f>
        <v>1342.22</v>
      </c>
      <c r="G15" s="370">
        <f>'UTILITY REPORT 1'!F16</f>
        <v>3411</v>
      </c>
      <c r="H15" s="369">
        <f>IF('Kit report'!F17&lt;0,"0",'Kit report'!F17)</f>
        <v>251.99999999982538</v>
      </c>
      <c r="I15" s="369">
        <f>IF('Kit report'!X17&lt;0,"0",'Kit report'!X17)</f>
        <v>440.00000000014552</v>
      </c>
      <c r="J15" s="369">
        <f>IF('Utility summery'!H19&lt;0,"0",'Utility summery'!H19)</f>
        <v>56</v>
      </c>
      <c r="K15" s="370">
        <f>IF('UTILITY REPORT 1'!H16&lt;0,"0",'UTILITY REPORT 1'!H16)</f>
        <v>167</v>
      </c>
      <c r="L15" s="369">
        <f>'Water-Meter'!K19</f>
        <v>3</v>
      </c>
      <c r="M15" s="370">
        <f>'Water-Meter'!H19</f>
        <v>0</v>
      </c>
      <c r="N15" s="370">
        <f>'Water-Meter'!Q19</f>
        <v>8</v>
      </c>
      <c r="O15" s="369" t="e">
        <f>K15*E15+H15*I15+#REF!*#REF!+J15*L15</f>
        <v>#REF!</v>
      </c>
      <c r="P15" s="375">
        <f>'Water-Meter'!E19</f>
        <v>78</v>
      </c>
      <c r="Q15" s="207">
        <f>IF('Water-Meter'!U19&lt;0,"0",'Water-Meter'!U19)</f>
        <v>68</v>
      </c>
      <c r="R15" s="207">
        <f>IF('Water-Meter'!X19&lt;0,"0",'Water-Meter'!X19)</f>
        <v>0</v>
      </c>
      <c r="S15" s="207">
        <f>IF('Water-Meter'!AA19&lt;0,"0",'Water-Meter'!AA19)</f>
        <v>32</v>
      </c>
      <c r="T15" s="207">
        <f>IF('Water-Meter'!AD19&lt;0,"0",'Water-Meter'!AD19)</f>
        <v>20</v>
      </c>
      <c r="U15" s="207">
        <f>IF('Water-Meter'!AG19&lt;0,"0",'Water-Meter'!AG19)</f>
        <v>0</v>
      </c>
      <c r="V15" s="207">
        <f>IF('Water-Meter'!AJ19&lt;0,"0",'Water-Meter'!AJ19)</f>
        <v>35</v>
      </c>
      <c r="W15" s="21">
        <f>'Water-Meter'!AN19</f>
        <v>155</v>
      </c>
      <c r="X15" s="337">
        <v>16</v>
      </c>
    </row>
    <row r="16" spans="1:24" x14ac:dyDescent="0.2">
      <c r="A16" s="371" t="s">
        <v>23</v>
      </c>
      <c r="B16" s="368">
        <f t="shared" si="0"/>
        <v>15</v>
      </c>
      <c r="C16" s="373">
        <v>12</v>
      </c>
      <c r="D16" s="374">
        <v>2021</v>
      </c>
      <c r="E16" s="369">
        <f>'UTILITY REPORT 1'!I17</f>
        <v>0</v>
      </c>
      <c r="F16" s="369">
        <f>'UTILITY REPORT 1'!E17</f>
        <v>1601.9099999999999</v>
      </c>
      <c r="G16" s="370">
        <f>'UTILITY REPORT 1'!F17</f>
        <v>3878</v>
      </c>
      <c r="H16" s="369">
        <f>IF('Kit report'!F18&lt;0,"0",'Kit report'!F18)</f>
        <v>240</v>
      </c>
      <c r="I16" s="369">
        <f>IF('Kit report'!X18&lt;0,"0",'Kit report'!X18)</f>
        <v>359.99999999985448</v>
      </c>
      <c r="J16" s="369">
        <f>IF('Utility summery'!H20&lt;0,"0",'Utility summery'!H20)</f>
        <v>124</v>
      </c>
      <c r="K16" s="370">
        <f>IF('UTILITY REPORT 1'!H17&lt;0,"0",'UTILITY REPORT 1'!H17)</f>
        <v>104</v>
      </c>
      <c r="L16" s="369">
        <f>'Water-Meter'!K20</f>
        <v>2</v>
      </c>
      <c r="M16" s="370">
        <f>'Water-Meter'!H20</f>
        <v>0</v>
      </c>
      <c r="N16" s="370">
        <f>'Water-Meter'!Q20</f>
        <v>5</v>
      </c>
      <c r="O16" s="369" t="e">
        <f>K16*E16+H16*I16+#REF!*#REF!+J16*L16</f>
        <v>#REF!</v>
      </c>
      <c r="P16" s="375">
        <f>'Water-Meter'!E20</f>
        <v>72</v>
      </c>
      <c r="Q16" s="207">
        <f>IF('Water-Meter'!U20&lt;0,"0",'Water-Meter'!U20)</f>
        <v>0</v>
      </c>
      <c r="R16" s="207">
        <f>IF('Water-Meter'!X20&lt;0,"0",'Water-Meter'!X20)</f>
        <v>0</v>
      </c>
      <c r="S16" s="207">
        <f>IF('Water-Meter'!AA20&lt;0,"0",'Water-Meter'!AA20)</f>
        <v>45</v>
      </c>
      <c r="T16" s="207">
        <f>IF('Water-Meter'!AD20&lt;0,"0",'Water-Meter'!AD20)</f>
        <v>20</v>
      </c>
      <c r="U16" s="207">
        <f>IF('Water-Meter'!AG20&lt;0,"0",'Water-Meter'!AG20)</f>
        <v>0</v>
      </c>
      <c r="V16" s="207">
        <f>IF('Water-Meter'!AJ20&lt;0,"0",'Water-Meter'!AJ20)</f>
        <v>37</v>
      </c>
      <c r="W16" s="21">
        <f>'Water-Meter'!AN20</f>
        <v>102</v>
      </c>
      <c r="X16" s="337">
        <v>17</v>
      </c>
    </row>
    <row r="17" spans="1:24" x14ac:dyDescent="0.2">
      <c r="A17" s="371" t="s">
        <v>23</v>
      </c>
      <c r="B17" s="368">
        <f t="shared" si="0"/>
        <v>16</v>
      </c>
      <c r="C17" s="373">
        <v>12</v>
      </c>
      <c r="D17" s="374">
        <v>2021</v>
      </c>
      <c r="E17" s="369">
        <f>'UTILITY REPORT 1'!I18</f>
        <v>176.76</v>
      </c>
      <c r="F17" s="369">
        <f>'UTILITY REPORT 1'!E18</f>
        <v>1526.57</v>
      </c>
      <c r="G17" s="370">
        <f>'UTILITY REPORT 1'!F18</f>
        <v>3906</v>
      </c>
      <c r="H17" s="369">
        <f>IF('Kit report'!F19&lt;0,"0",'Kit report'!F19)</f>
        <v>264.00000000008731</v>
      </c>
      <c r="I17" s="369">
        <f>IF('Kit report'!X19&lt;0,"0",'Kit report'!X19)</f>
        <v>520.00000000007276</v>
      </c>
      <c r="J17" s="369">
        <f>IF('Utility summery'!H21&lt;0,"0",'Utility summery'!H21)</f>
        <v>58</v>
      </c>
      <c r="K17" s="370">
        <f>IF('UTILITY REPORT 1'!H18&lt;0,"0",'UTILITY REPORT 1'!H18)</f>
        <v>82</v>
      </c>
      <c r="L17" s="369">
        <f>'Water-Meter'!K21</f>
        <v>2</v>
      </c>
      <c r="M17" s="370">
        <f>'Water-Meter'!H21</f>
        <v>0</v>
      </c>
      <c r="N17" s="370">
        <f>'Water-Meter'!Q21</f>
        <v>5</v>
      </c>
      <c r="O17" s="369" t="e">
        <f>K17*E17+H17*I17+#REF!*#REF!+J17*L17</f>
        <v>#REF!</v>
      </c>
      <c r="P17" s="375">
        <f>'Water-Meter'!E21</f>
        <v>73</v>
      </c>
      <c r="Q17" s="207">
        <f>IF('Water-Meter'!U21&lt;0,"0",'Water-Meter'!U21)</f>
        <v>0</v>
      </c>
      <c r="R17" s="207">
        <f>IF('Water-Meter'!X21&lt;0,"0",'Water-Meter'!X21)</f>
        <v>0</v>
      </c>
      <c r="S17" s="207">
        <f>IF('Water-Meter'!AA21&lt;0,"0",'Water-Meter'!AA21)</f>
        <v>35</v>
      </c>
      <c r="T17" s="207">
        <f>IF('Water-Meter'!AD21&lt;0,"0",'Water-Meter'!AD21)</f>
        <v>17</v>
      </c>
      <c r="U17" s="207">
        <f>IF('Water-Meter'!AG21&lt;0,"0",'Water-Meter'!AG21)</f>
        <v>0</v>
      </c>
      <c r="V17" s="207">
        <f>IF('Water-Meter'!AJ21&lt;0,"0",'Water-Meter'!AJ21)</f>
        <v>39</v>
      </c>
      <c r="W17" s="21">
        <f>'Water-Meter'!AN21</f>
        <v>91</v>
      </c>
      <c r="X17" s="337">
        <v>15</v>
      </c>
    </row>
    <row r="18" spans="1:24" x14ac:dyDescent="0.2">
      <c r="A18" s="371" t="s">
        <v>23</v>
      </c>
      <c r="B18" s="368">
        <f t="shared" si="0"/>
        <v>17</v>
      </c>
      <c r="C18" s="373">
        <v>12</v>
      </c>
      <c r="D18" s="374">
        <v>2021</v>
      </c>
      <c r="E18" s="369">
        <f>'UTILITY REPORT 1'!I19</f>
        <v>115.53</v>
      </c>
      <c r="F18" s="369">
        <f>'UTILITY REPORT 1'!E19</f>
        <v>1519.37</v>
      </c>
      <c r="G18" s="370">
        <f>'UTILITY REPORT 1'!F19</f>
        <v>3764</v>
      </c>
      <c r="H18" s="369">
        <f>IF('Kit report'!F20&lt;0,"0",'Kit report'!F20)</f>
        <v>264.00000000008731</v>
      </c>
      <c r="I18" s="369">
        <f>IF('Kit report'!X20&lt;0,"0",'Kit report'!X20)</f>
        <v>440.00000000014552</v>
      </c>
      <c r="J18" s="369">
        <f>IF('Utility summery'!H22&lt;0,"0",'Utility summery'!H22)</f>
        <v>54</v>
      </c>
      <c r="K18" s="370">
        <f>IF('UTILITY REPORT 1'!H19&lt;0,"0",'UTILITY REPORT 1'!H19)</f>
        <v>7</v>
      </c>
      <c r="L18" s="369">
        <f>'Water-Meter'!K22</f>
        <v>2</v>
      </c>
      <c r="M18" s="370">
        <f>'Water-Meter'!H22</f>
        <v>0</v>
      </c>
      <c r="N18" s="370">
        <f>'Water-Meter'!Q22</f>
        <v>4</v>
      </c>
      <c r="O18" s="369" t="e">
        <f>K18*E18+H18*I18+#REF!*#REF!+J18*L18</f>
        <v>#REF!</v>
      </c>
      <c r="P18" s="375">
        <f>'Water-Meter'!E22</f>
        <v>73</v>
      </c>
      <c r="Q18" s="207">
        <f>IF('Water-Meter'!U22&lt;0,"0",'Water-Meter'!U22)</f>
        <v>0</v>
      </c>
      <c r="R18" s="207">
        <f>IF('Water-Meter'!X22&lt;0,"0",'Water-Meter'!X22)</f>
        <v>0</v>
      </c>
      <c r="S18" s="207">
        <f>IF('Water-Meter'!AA22&lt;0,"0",'Water-Meter'!AA22)</f>
        <v>40</v>
      </c>
      <c r="T18" s="207">
        <f>IF('Water-Meter'!AD22&lt;0,"0",'Water-Meter'!AD22)</f>
        <v>39</v>
      </c>
      <c r="U18" s="207">
        <f>IF('Water-Meter'!AG22&lt;0,"0",'Water-Meter'!AG22)</f>
        <v>0</v>
      </c>
      <c r="V18" s="207">
        <f>IF('Water-Meter'!AJ22&lt;0,"0",'Water-Meter'!AJ22)</f>
        <v>30</v>
      </c>
      <c r="W18" s="21">
        <f>'Water-Meter'!AN22</f>
        <v>109</v>
      </c>
      <c r="X18" s="337">
        <v>15</v>
      </c>
    </row>
    <row r="19" spans="1:24" x14ac:dyDescent="0.2">
      <c r="A19" s="371" t="s">
        <v>23</v>
      </c>
      <c r="B19" s="368">
        <f t="shared" si="0"/>
        <v>18</v>
      </c>
      <c r="C19" s="373">
        <v>12</v>
      </c>
      <c r="D19" s="374">
        <v>2021</v>
      </c>
      <c r="E19" s="369">
        <f>'UTILITY REPORT 1'!I20</f>
        <v>347</v>
      </c>
      <c r="F19" s="369">
        <f>'UTILITY REPORT 1'!E20</f>
        <v>1531.62</v>
      </c>
      <c r="G19" s="370">
        <f>'UTILITY REPORT 1'!F20</f>
        <v>3882</v>
      </c>
      <c r="H19" s="369">
        <f>IF('Kit report'!F21&lt;0,"0",'Kit report'!F21)</f>
        <v>263.99999999986903</v>
      </c>
      <c r="I19" s="369">
        <f>IF('Kit report'!X21&lt;0,"0",'Kit report'!X21)</f>
        <v>459.99999999985448</v>
      </c>
      <c r="J19" s="369">
        <f>IF('Utility summery'!H23&lt;0,"0",'Utility summery'!H23)</f>
        <v>63</v>
      </c>
      <c r="K19" s="370">
        <f>IF('UTILITY REPORT 1'!H20&lt;0,"0",'UTILITY REPORT 1'!H20)</f>
        <v>152</v>
      </c>
      <c r="L19" s="369">
        <f>'Water-Meter'!K23</f>
        <v>3</v>
      </c>
      <c r="M19" s="370">
        <f>'Water-Meter'!H23</f>
        <v>0</v>
      </c>
      <c r="N19" s="370">
        <f>'Water-Meter'!Q23</f>
        <v>8</v>
      </c>
      <c r="O19" s="369" t="e">
        <f>K19*E19+H19*I19+#REF!*#REF!+J19*L19</f>
        <v>#REF!</v>
      </c>
      <c r="P19" s="375">
        <f>'Water-Meter'!E23</f>
        <v>85</v>
      </c>
      <c r="Q19" s="207">
        <f>IF('Water-Meter'!U23&lt;0,"0",'Water-Meter'!U23)</f>
        <v>0</v>
      </c>
      <c r="R19" s="207">
        <f>IF('Water-Meter'!X23&lt;0,"0",'Water-Meter'!X23)</f>
        <v>0</v>
      </c>
      <c r="S19" s="207">
        <f>IF('Water-Meter'!AA23&lt;0,"0",'Water-Meter'!AA23)</f>
        <v>38</v>
      </c>
      <c r="T19" s="207">
        <f>IF('Water-Meter'!AD23&lt;0,"0",'Water-Meter'!AD23)</f>
        <v>38</v>
      </c>
      <c r="U19" s="207">
        <f>IF('Water-Meter'!AG23&lt;0,"0",'Water-Meter'!AG23)</f>
        <v>0</v>
      </c>
      <c r="V19" s="207">
        <f>IF('Water-Meter'!AJ23&lt;0,"0",'Water-Meter'!AJ23)</f>
        <v>33</v>
      </c>
      <c r="W19" s="21">
        <f>'Water-Meter'!AN23</f>
        <v>109</v>
      </c>
      <c r="X19" s="337">
        <v>13</v>
      </c>
    </row>
    <row r="20" spans="1:24" x14ac:dyDescent="0.2">
      <c r="A20" s="371" t="s">
        <v>23</v>
      </c>
      <c r="B20" s="368">
        <f t="shared" si="0"/>
        <v>19</v>
      </c>
      <c r="C20" s="373">
        <v>12</v>
      </c>
      <c r="D20" s="374">
        <v>2021</v>
      </c>
      <c r="E20" s="369">
        <f>'UTILITY REPORT 1'!I21</f>
        <v>28.9</v>
      </c>
      <c r="F20" s="369">
        <f>'UTILITY REPORT 1'!E21</f>
        <v>1590.6599999999999</v>
      </c>
      <c r="G20" s="370">
        <f>'UTILITY REPORT 1'!F21</f>
        <v>3745</v>
      </c>
      <c r="H20" s="369">
        <f>IF('Kit report'!F22&lt;0,"0",'Kit report'!F22)</f>
        <v>216.00000000013097</v>
      </c>
      <c r="I20" s="369">
        <f>IF('Kit report'!X22&lt;0,"0",'Kit report'!X22)</f>
        <v>540.00000000014552</v>
      </c>
      <c r="J20" s="369">
        <f>IF('Utility summery'!H24&lt;0,"0",'Utility summery'!H24)</f>
        <v>62</v>
      </c>
      <c r="K20" s="370">
        <f>IF('UTILITY REPORT 1'!H21&lt;0,"0",'UTILITY REPORT 1'!H21)</f>
        <v>168</v>
      </c>
      <c r="L20" s="369">
        <f>'Water-Meter'!K24</f>
        <v>3</v>
      </c>
      <c r="M20" s="370">
        <f>'Water-Meter'!H24</f>
        <v>0</v>
      </c>
      <c r="N20" s="370">
        <f>'Water-Meter'!Q24</f>
        <v>6</v>
      </c>
      <c r="O20" s="369" t="e">
        <f>K20*E20+H20*I20+#REF!*#REF!+J20*L20</f>
        <v>#REF!</v>
      </c>
      <c r="P20" s="375">
        <f>'Water-Meter'!E24</f>
        <v>80</v>
      </c>
      <c r="Q20" s="207">
        <f>IF('Water-Meter'!U24&lt;0,"0",'Water-Meter'!U24)</f>
        <v>0</v>
      </c>
      <c r="R20" s="207">
        <f>IF('Water-Meter'!X24&lt;0,"0",'Water-Meter'!X24)</f>
        <v>0</v>
      </c>
      <c r="S20" s="207">
        <f>IF('Water-Meter'!AA24&lt;0,"0",'Water-Meter'!AA24)</f>
        <v>41</v>
      </c>
      <c r="T20" s="207">
        <f>IF('Water-Meter'!AD24&lt;0,"0",'Water-Meter'!AD24)</f>
        <v>39</v>
      </c>
      <c r="U20" s="207">
        <f>IF('Water-Meter'!AG24&lt;0,"0",'Water-Meter'!AG24)</f>
        <v>0</v>
      </c>
      <c r="V20" s="207">
        <f>IF('Water-Meter'!AJ24&lt;0,"0",'Water-Meter'!AJ24)</f>
        <v>35</v>
      </c>
      <c r="W20" s="21">
        <f>'Water-Meter'!AN24</f>
        <v>115</v>
      </c>
      <c r="X20" s="337">
        <v>10</v>
      </c>
    </row>
    <row r="21" spans="1:24" x14ac:dyDescent="0.2">
      <c r="A21" s="371" t="s">
        <v>23</v>
      </c>
      <c r="B21" s="368">
        <f t="shared" si="0"/>
        <v>20</v>
      </c>
      <c r="C21" s="373">
        <v>12</v>
      </c>
      <c r="D21" s="374">
        <v>2021</v>
      </c>
      <c r="E21" s="369">
        <f>'UTILITY REPORT 1'!I22</f>
        <v>248.49</v>
      </c>
      <c r="F21" s="369">
        <f>'UTILITY REPORT 1'!E22</f>
        <v>1280.58</v>
      </c>
      <c r="G21" s="370">
        <f>'UTILITY REPORT 1'!F22</f>
        <v>3257</v>
      </c>
      <c r="H21" s="369">
        <f>IF('Kit report'!F23&lt;0,"0",'Kit report'!F23)</f>
        <v>227.99999999995634</v>
      </c>
      <c r="I21" s="369">
        <f>IF('Kit report'!X23&lt;0,"0",'Kit report'!X23)</f>
        <v>600</v>
      </c>
      <c r="J21" s="369">
        <f>IF('Utility summery'!H25&lt;0,"0",'Utility summery'!H25)</f>
        <v>58</v>
      </c>
      <c r="K21" s="370">
        <f>IF('UTILITY REPORT 1'!H22&lt;0,"0",'UTILITY REPORT 1'!H22)</f>
        <v>0</v>
      </c>
      <c r="L21" s="369">
        <f>'Water-Meter'!K25</f>
        <v>2</v>
      </c>
      <c r="M21" s="370">
        <f>'Water-Meter'!H25</f>
        <v>0</v>
      </c>
      <c r="N21" s="370">
        <f>'Water-Meter'!Q25</f>
        <v>5</v>
      </c>
      <c r="O21" s="369" t="e">
        <f>K21*E21+H21*I21+#REF!*#REF!+J21*L21</f>
        <v>#REF!</v>
      </c>
      <c r="P21" s="375">
        <f>'Water-Meter'!E25</f>
        <v>76</v>
      </c>
      <c r="Q21" s="207">
        <f>IF('Water-Meter'!U25&lt;0,"0",'Water-Meter'!U25)</f>
        <v>0</v>
      </c>
      <c r="R21" s="207">
        <f>IF('Water-Meter'!X25&lt;0,"0",'Water-Meter'!X25)</f>
        <v>0</v>
      </c>
      <c r="S21" s="207">
        <f>IF('Water-Meter'!AA25&lt;0,"0",'Water-Meter'!AA25)</f>
        <v>39</v>
      </c>
      <c r="T21" s="207">
        <f>IF('Water-Meter'!AD25&lt;0,"0",'Water-Meter'!AD25)</f>
        <v>25</v>
      </c>
      <c r="U21" s="207">
        <f>IF('Water-Meter'!AG25&lt;0,"0",'Water-Meter'!AG25)</f>
        <v>0</v>
      </c>
      <c r="V21" s="207">
        <f>IF('Water-Meter'!AJ25&lt;0,"0",'Water-Meter'!AJ25)</f>
        <v>38</v>
      </c>
      <c r="W21" s="21">
        <f>'Water-Meter'!AN25</f>
        <v>102</v>
      </c>
      <c r="X21" s="337">
        <v>6</v>
      </c>
    </row>
    <row r="22" spans="1:24" x14ac:dyDescent="0.2">
      <c r="A22" s="371" t="s">
        <v>23</v>
      </c>
      <c r="B22" s="368">
        <f t="shared" si="0"/>
        <v>21</v>
      </c>
      <c r="C22" s="373">
        <v>12</v>
      </c>
      <c r="D22" s="374">
        <v>2021</v>
      </c>
      <c r="E22" s="369">
        <f>'UTILITY REPORT 1'!I23</f>
        <v>81</v>
      </c>
      <c r="F22" s="369">
        <f>'UTILITY REPORT 1'!E23</f>
        <v>1850.97</v>
      </c>
      <c r="G22" s="370">
        <f>'UTILITY REPORT 1'!F23</f>
        <v>4495</v>
      </c>
      <c r="H22" s="369">
        <f>IF('Kit report'!F24&lt;0,"0",'Kit report'!F24)</f>
        <v>252.00000000004366</v>
      </c>
      <c r="I22" s="369">
        <f>IF('Kit report'!X24&lt;0,"0",'Kit report'!X24)</f>
        <v>600</v>
      </c>
      <c r="J22" s="369">
        <f>IF('Utility summery'!H26&lt;0,"0",'Utility summery'!H26)</f>
        <v>57</v>
      </c>
      <c r="K22" s="370">
        <f>IF('UTILITY REPORT 1'!H23&lt;0,"0",'UTILITY REPORT 1'!H23)</f>
        <v>86</v>
      </c>
      <c r="L22" s="369">
        <f>'Water-Meter'!K26</f>
        <v>2</v>
      </c>
      <c r="M22" s="370">
        <f>'Water-Meter'!H26</f>
        <v>0</v>
      </c>
      <c r="N22" s="370">
        <f>'Water-Meter'!Q26</f>
        <v>5</v>
      </c>
      <c r="O22" s="369" t="e">
        <f>K22*E22+H22*I22+#REF!*#REF!+J22*L22</f>
        <v>#REF!</v>
      </c>
      <c r="P22" s="375">
        <f>'Water-Meter'!E26</f>
        <v>69</v>
      </c>
      <c r="Q22" s="207">
        <f>IF('Water-Meter'!U26&lt;0,"0",'Water-Meter'!U26)</f>
        <v>72</v>
      </c>
      <c r="R22" s="207">
        <f>IF('Water-Meter'!X26&lt;0,"0",'Water-Meter'!X26)</f>
        <v>0</v>
      </c>
      <c r="S22" s="207">
        <f>IF('Water-Meter'!AA26&lt;0,"0",'Water-Meter'!AA26)</f>
        <v>38</v>
      </c>
      <c r="T22" s="207">
        <f>IF('Water-Meter'!AD26&lt;0,"0",'Water-Meter'!AD26)</f>
        <v>17</v>
      </c>
      <c r="U22" s="207">
        <f>IF('Water-Meter'!AG26&lt;0,"0",'Water-Meter'!AG26)</f>
        <v>0</v>
      </c>
      <c r="V22" s="207">
        <f>IF('Water-Meter'!AJ26&lt;0,"0",'Water-Meter'!AJ26)</f>
        <v>38</v>
      </c>
      <c r="W22" s="21">
        <f>'Water-Meter'!AN26</f>
        <v>165</v>
      </c>
      <c r="X22" s="337">
        <v>9</v>
      </c>
    </row>
    <row r="23" spans="1:24" x14ac:dyDescent="0.2">
      <c r="A23" s="371" t="s">
        <v>23</v>
      </c>
      <c r="B23" s="368">
        <f t="shared" si="0"/>
        <v>22</v>
      </c>
      <c r="C23" s="373">
        <v>12</v>
      </c>
      <c r="D23" s="374">
        <v>2021</v>
      </c>
      <c r="E23" s="369">
        <f>'UTILITY REPORT 1'!I24</f>
        <v>289.43</v>
      </c>
      <c r="F23" s="369">
        <f>'UTILITY REPORT 1'!E24</f>
        <v>1693.83</v>
      </c>
      <c r="G23" s="370">
        <f>'UTILITY REPORT 1'!F24</f>
        <v>3996</v>
      </c>
      <c r="H23" s="369">
        <f>IF('Kit report'!F25&lt;0,"0",'Kit report'!F25)</f>
        <v>263.99999999986903</v>
      </c>
      <c r="I23" s="369">
        <f>IF('Kit report'!X25&lt;0,"0",'Kit report'!X25)</f>
        <v>579.99999999992724</v>
      </c>
      <c r="J23" s="369">
        <f>IF('Utility summery'!H27&lt;0,"0",'Utility summery'!H27)</f>
        <v>60</v>
      </c>
      <c r="K23" s="370">
        <f>IF('UTILITY REPORT 1'!H24&lt;0,"0",'UTILITY REPORT 1'!H24)</f>
        <v>100</v>
      </c>
      <c r="L23" s="369">
        <f>'Water-Meter'!K27</f>
        <v>4</v>
      </c>
      <c r="M23" s="370">
        <f>'Water-Meter'!H27</f>
        <v>0</v>
      </c>
      <c r="N23" s="370">
        <f>'Water-Meter'!Q27</f>
        <v>7</v>
      </c>
      <c r="O23" s="369" t="e">
        <f>K23*E23+H23*I23+#REF!*#REF!+J23*L23</f>
        <v>#REF!</v>
      </c>
      <c r="P23" s="375">
        <f>'Water-Meter'!E27</f>
        <v>71</v>
      </c>
      <c r="Q23" s="207">
        <f>IF('Water-Meter'!U27&lt;0,"0",'Water-Meter'!U27)</f>
        <v>71</v>
      </c>
      <c r="R23" s="207">
        <f>IF('Water-Meter'!X27&lt;0,"0",'Water-Meter'!X27)</f>
        <v>0</v>
      </c>
      <c r="S23" s="207">
        <f>IF('Water-Meter'!AA27&lt;0,"0",'Water-Meter'!AA27)</f>
        <v>35</v>
      </c>
      <c r="T23" s="207">
        <f>IF('Water-Meter'!AD27&lt;0,"0",'Water-Meter'!AD27)</f>
        <v>16</v>
      </c>
      <c r="U23" s="207">
        <f>IF('Water-Meter'!AG27&lt;0,"0",'Water-Meter'!AG27)</f>
        <v>0</v>
      </c>
      <c r="V23" s="207">
        <f>IF('Water-Meter'!AJ27&lt;0,"0",'Water-Meter'!AJ27)</f>
        <v>32</v>
      </c>
      <c r="W23" s="21">
        <f>'Water-Meter'!AN27</f>
        <v>154</v>
      </c>
      <c r="X23" s="337">
        <v>14</v>
      </c>
    </row>
    <row r="24" spans="1:24" x14ac:dyDescent="0.2">
      <c r="A24" s="371" t="s">
        <v>23</v>
      </c>
      <c r="B24" s="368">
        <f t="shared" si="0"/>
        <v>23</v>
      </c>
      <c r="C24" s="373">
        <v>12</v>
      </c>
      <c r="D24" s="374">
        <v>2021</v>
      </c>
      <c r="E24" s="369">
        <f>'UTILITY REPORT 1'!I25</f>
        <v>122.64</v>
      </c>
      <c r="F24" s="369">
        <f>'UTILITY REPORT 1'!E25</f>
        <v>1680.85</v>
      </c>
      <c r="G24" s="370">
        <f>'UTILITY REPORT 1'!F25</f>
        <v>4192</v>
      </c>
      <c r="H24" s="369">
        <f>IF('Kit report'!F26&lt;0,"0",'Kit report'!F26)</f>
        <v>240</v>
      </c>
      <c r="I24" s="369">
        <f>IF('Kit report'!X26&lt;0,"0",'Kit report'!X26)</f>
        <v>620.00000000007276</v>
      </c>
      <c r="J24" s="369">
        <f>IF('Utility summery'!H28&lt;0,"0",'Utility summery'!H28)</f>
        <v>59</v>
      </c>
      <c r="K24" s="370">
        <f>IF('UTILITY REPORT 1'!H25&lt;0,"0",'UTILITY REPORT 1'!H25)</f>
        <v>95</v>
      </c>
      <c r="L24" s="369">
        <f>'Water-Meter'!K28</f>
        <v>2</v>
      </c>
      <c r="M24" s="370">
        <f>'Water-Meter'!H28</f>
        <v>0</v>
      </c>
      <c r="N24" s="370">
        <f>'Water-Meter'!Q28</f>
        <v>10</v>
      </c>
      <c r="O24" s="369" t="e">
        <f>K24*E24+H24*I24+#REF!*#REF!+J24*L24</f>
        <v>#REF!</v>
      </c>
      <c r="P24" s="375">
        <f>'Water-Meter'!E28</f>
        <v>85</v>
      </c>
      <c r="Q24" s="207">
        <f>IF('Water-Meter'!U28&lt;0,"0",'Water-Meter'!U28)</f>
        <v>23</v>
      </c>
      <c r="R24" s="207">
        <f>IF('Water-Meter'!X28&lt;0,"0",'Water-Meter'!X28)</f>
        <v>0</v>
      </c>
      <c r="S24" s="207">
        <f>IF('Water-Meter'!AA28&lt;0,"0",'Water-Meter'!AA28)</f>
        <v>41</v>
      </c>
      <c r="T24" s="207">
        <f>IF('Water-Meter'!AD28&lt;0,"0",'Water-Meter'!AD28)</f>
        <v>18</v>
      </c>
      <c r="U24" s="207">
        <f>IF('Water-Meter'!AG28&lt;0,"0",'Water-Meter'!AG28)</f>
        <v>0</v>
      </c>
      <c r="V24" s="207">
        <f>IF('Water-Meter'!AJ28&lt;0,"0",'Water-Meter'!AJ28)</f>
        <v>36</v>
      </c>
      <c r="W24" s="21">
        <f>'Water-Meter'!AN28</f>
        <v>118</v>
      </c>
      <c r="X24" s="337">
        <v>14</v>
      </c>
    </row>
    <row r="25" spans="1:24" x14ac:dyDescent="0.2">
      <c r="A25" s="371" t="s">
        <v>23</v>
      </c>
      <c r="B25" s="368">
        <f t="shared" si="0"/>
        <v>24</v>
      </c>
      <c r="C25" s="373">
        <v>12</v>
      </c>
      <c r="D25" s="374">
        <v>2021</v>
      </c>
      <c r="E25" s="369">
        <f>'UTILITY REPORT 1'!I26</f>
        <v>0</v>
      </c>
      <c r="F25" s="369">
        <f>'UTILITY REPORT 1'!E26</f>
        <v>2112.66</v>
      </c>
      <c r="G25" s="370">
        <f>'UTILITY REPORT 1'!F26</f>
        <v>4947</v>
      </c>
      <c r="H25" s="369">
        <f>IF('Kit report'!F27&lt;0,"0",'Kit report'!F27)</f>
        <v>276.00000000013097</v>
      </c>
      <c r="I25" s="369">
        <f>IF('Kit report'!X27&lt;0,"0",'Kit report'!X27)</f>
        <v>800</v>
      </c>
      <c r="J25" s="369">
        <f>IF('Utility summery'!H29&lt;0,"0",'Utility summery'!H29)</f>
        <v>58</v>
      </c>
      <c r="K25" s="370">
        <f>IF('UTILITY REPORT 1'!H26&lt;0,"0",'UTILITY REPORT 1'!H26)</f>
        <v>134</v>
      </c>
      <c r="L25" s="369">
        <f>'Water-Meter'!K29</f>
        <v>3</v>
      </c>
      <c r="M25" s="370">
        <f>'Water-Meter'!H29</f>
        <v>0</v>
      </c>
      <c r="N25" s="370">
        <f>'Water-Meter'!Q29</f>
        <v>9</v>
      </c>
      <c r="O25" s="369" t="e">
        <f>K25*E25+H25*I25+#REF!*#REF!+J25*L25</f>
        <v>#REF!</v>
      </c>
      <c r="P25" s="375">
        <f>'Water-Meter'!E29</f>
        <v>75</v>
      </c>
      <c r="Q25" s="207">
        <f>IF('Water-Meter'!U29&lt;0,"0",'Water-Meter'!U29)</f>
        <v>0</v>
      </c>
      <c r="R25" s="207">
        <f>IF('Water-Meter'!X29&lt;0,"0",'Water-Meter'!X29)</f>
        <v>0</v>
      </c>
      <c r="S25" s="207">
        <f>IF('Water-Meter'!AA29&lt;0,"0",'Water-Meter'!AA29)</f>
        <v>40</v>
      </c>
      <c r="T25" s="207">
        <f>IF('Water-Meter'!AD29&lt;0,"0",'Water-Meter'!AD29)</f>
        <v>16</v>
      </c>
      <c r="U25" s="207">
        <f>IF('Water-Meter'!AG29&lt;0,"0",'Water-Meter'!AG29)</f>
        <v>0</v>
      </c>
      <c r="V25" s="207">
        <f>IF('Water-Meter'!AJ29&lt;0,"0",'Water-Meter'!AJ29)</f>
        <v>36</v>
      </c>
      <c r="W25" s="21">
        <f>'Water-Meter'!AN29</f>
        <v>92</v>
      </c>
      <c r="X25" s="337">
        <v>37</v>
      </c>
    </row>
    <row r="26" spans="1:24" x14ac:dyDescent="0.2">
      <c r="A26" s="371" t="s">
        <v>23</v>
      </c>
      <c r="B26" s="368">
        <f>B25+1</f>
        <v>25</v>
      </c>
      <c r="C26" s="373">
        <v>12</v>
      </c>
      <c r="D26" s="374">
        <v>2021</v>
      </c>
      <c r="E26" s="369">
        <f>'UTILITY REPORT 1'!I27</f>
        <v>35.200000000000003</v>
      </c>
      <c r="F26" s="369">
        <f>'UTILITY REPORT 1'!E27</f>
        <v>2005.49</v>
      </c>
      <c r="G26" s="370">
        <f>'UTILITY REPORT 1'!F27</f>
        <v>4917</v>
      </c>
      <c r="H26" s="369">
        <f>IF('Kit report'!F28&lt;0,"0",'Kit report'!F28)</f>
        <v>300</v>
      </c>
      <c r="I26" s="369">
        <f>IF('Kit report'!X28&lt;0,"0",'Kit report'!X28)</f>
        <v>579.99999999992724</v>
      </c>
      <c r="J26" s="369">
        <f>IF('Utility summery'!H30&lt;0,"0",'Utility summery'!H30)</f>
        <v>57</v>
      </c>
      <c r="K26" s="370">
        <f>IF('UTILITY REPORT 1'!H27&lt;0,"0",'UTILITY REPORT 1'!H27)</f>
        <v>85</v>
      </c>
      <c r="L26" s="369">
        <f>'Water-Meter'!K30</f>
        <v>3</v>
      </c>
      <c r="M26" s="370">
        <f>'Water-Meter'!H30</f>
        <v>0</v>
      </c>
      <c r="N26" s="370">
        <f>'Water-Meter'!Q30</f>
        <v>13</v>
      </c>
      <c r="O26" s="369" t="e">
        <f>K26*E26+H26*I26+#REF!*#REF!+J26*L26</f>
        <v>#REF!</v>
      </c>
      <c r="P26" s="375">
        <f>'Water-Meter'!E30</f>
        <v>102</v>
      </c>
      <c r="Q26" s="207">
        <f>IF('Water-Meter'!U30&lt;0,"0",'Water-Meter'!U30)</f>
        <v>36</v>
      </c>
      <c r="R26" s="207">
        <f>IF('Water-Meter'!X30&lt;0,"0",'Water-Meter'!X30)</f>
        <v>0</v>
      </c>
      <c r="S26" s="207">
        <f>IF('Water-Meter'!AA30&lt;0,"0",'Water-Meter'!AA30)</f>
        <v>42</v>
      </c>
      <c r="T26" s="207">
        <f>IF('Water-Meter'!AD30&lt;0,"0",'Water-Meter'!AD30)</f>
        <v>15</v>
      </c>
      <c r="U26" s="207">
        <f>IF('Water-Meter'!AG30&lt;0,"0",'Water-Meter'!AG30)</f>
        <v>0</v>
      </c>
      <c r="V26" s="207">
        <f>IF('Water-Meter'!AJ30&lt;0,"0",'Water-Meter'!AJ30)</f>
        <v>34</v>
      </c>
      <c r="W26" s="21">
        <f>'Water-Meter'!AN30</f>
        <v>127</v>
      </c>
      <c r="X26" s="337">
        <v>46</v>
      </c>
    </row>
    <row r="27" spans="1:24" x14ac:dyDescent="0.2">
      <c r="A27" s="371" t="s">
        <v>23</v>
      </c>
      <c r="B27" s="368">
        <f t="shared" si="0"/>
        <v>26</v>
      </c>
      <c r="C27" s="373">
        <v>12</v>
      </c>
      <c r="D27" s="374">
        <v>2021</v>
      </c>
      <c r="E27" s="369">
        <f>'UTILITY REPORT 1'!I28</f>
        <v>280.98</v>
      </c>
      <c r="F27" s="369">
        <f>'UTILITY REPORT 1'!E28</f>
        <v>2169.16</v>
      </c>
      <c r="G27" s="370">
        <f>'UTILITY REPORT 1'!F28</f>
        <v>4944</v>
      </c>
      <c r="H27" s="369">
        <f>IF('Kit report'!F29&lt;0,"0",'Kit report'!F29)</f>
        <v>263.99999999986903</v>
      </c>
      <c r="I27" s="369">
        <f>IF('Kit report'!X29&lt;0,"0",'Kit report'!X29)</f>
        <v>779.99999999992724</v>
      </c>
      <c r="J27" s="369">
        <f>IF('Utility summery'!H31&lt;0,"0",'Utility summery'!H31)</f>
        <v>50</v>
      </c>
      <c r="K27" s="370">
        <f>IF('UTILITY REPORT 1'!H28&lt;0,"0",'UTILITY REPORT 1'!H28)</f>
        <v>48</v>
      </c>
      <c r="L27" s="369">
        <f>'Water-Meter'!K31</f>
        <v>3</v>
      </c>
      <c r="M27" s="370">
        <f>'Water-Meter'!H31</f>
        <v>0</v>
      </c>
      <c r="N27" s="370">
        <f>'Water-Meter'!Q31</f>
        <v>12</v>
      </c>
      <c r="O27" s="369" t="e">
        <f>K27*E27+H27*I27+#REF!*#REF!+J27*L27</f>
        <v>#REF!</v>
      </c>
      <c r="P27" s="375">
        <f>'Water-Meter'!E31</f>
        <v>106</v>
      </c>
      <c r="Q27" s="207">
        <f>IF('Water-Meter'!U31&lt;0,"0",'Water-Meter'!U31)</f>
        <v>74</v>
      </c>
      <c r="R27" s="207">
        <f>IF('Water-Meter'!X31&lt;0,"0",'Water-Meter'!X31)</f>
        <v>0</v>
      </c>
      <c r="S27" s="207">
        <f>IF('Water-Meter'!AA31&lt;0,"0",'Water-Meter'!AA31)</f>
        <v>41</v>
      </c>
      <c r="T27" s="207">
        <f>IF('Water-Meter'!AD31&lt;0,"0",'Water-Meter'!AD31)</f>
        <v>14</v>
      </c>
      <c r="U27" s="207">
        <f>IF('Water-Meter'!AG31&lt;0,"0",'Water-Meter'!AG31)</f>
        <v>0</v>
      </c>
      <c r="V27" s="207">
        <f>IF('Water-Meter'!AJ31&lt;0,"0",'Water-Meter'!AJ31)</f>
        <v>35</v>
      </c>
      <c r="W27" s="21">
        <f>'Water-Meter'!AN31</f>
        <v>164</v>
      </c>
      <c r="X27" s="337">
        <v>35</v>
      </c>
    </row>
    <row r="28" spans="1:24" x14ac:dyDescent="0.2">
      <c r="A28" s="371" t="s">
        <v>23</v>
      </c>
      <c r="B28" s="368">
        <f t="shared" si="0"/>
        <v>27</v>
      </c>
      <c r="C28" s="373">
        <v>12</v>
      </c>
      <c r="D28" s="374">
        <v>2021</v>
      </c>
      <c r="E28" s="369">
        <f>'UTILITY REPORT 1'!I29</f>
        <v>49.66</v>
      </c>
      <c r="F28" s="369">
        <f>'UTILITY REPORT 1'!E29</f>
        <v>2028.79</v>
      </c>
      <c r="G28" s="370">
        <f>'UTILITY REPORT 1'!F29</f>
        <v>5000</v>
      </c>
      <c r="H28" s="369">
        <f>IF('Kit report'!F30&lt;0,"0",'Kit report'!F30)</f>
        <v>276.00000000013097</v>
      </c>
      <c r="I28" s="369">
        <f>IF('Kit report'!X30&lt;0,"0",'Kit report'!X30)</f>
        <v>959.99999999985448</v>
      </c>
      <c r="J28" s="369">
        <f>IF('Utility summery'!H32&lt;0,"0",'Utility summery'!H32)</f>
        <v>63</v>
      </c>
      <c r="K28" s="370">
        <f>IF('UTILITY REPORT 1'!H29&lt;0,"0",'UTILITY REPORT 1'!H29)</f>
        <v>135</v>
      </c>
      <c r="L28" s="369">
        <f>'Water-Meter'!K32</f>
        <v>4</v>
      </c>
      <c r="M28" s="370">
        <f>'Water-Meter'!H32</f>
        <v>0</v>
      </c>
      <c r="N28" s="370">
        <f>'Water-Meter'!Q32</f>
        <v>13</v>
      </c>
      <c r="O28" s="369" t="e">
        <f>K28*E28+H28*I28+#REF!*#REF!+J28*L28</f>
        <v>#REF!</v>
      </c>
      <c r="P28" s="375">
        <f>'Water-Meter'!E32</f>
        <v>102</v>
      </c>
      <c r="Q28" s="207">
        <f>IF('Water-Meter'!U32&lt;0,"0",'Water-Meter'!U32)</f>
        <v>70</v>
      </c>
      <c r="R28" s="207">
        <f>IF('Water-Meter'!X32&lt;0,"0",'Water-Meter'!X32)</f>
        <v>0</v>
      </c>
      <c r="S28" s="207">
        <f>IF('Water-Meter'!AA32&lt;0,"0",'Water-Meter'!AA32)</f>
        <v>43</v>
      </c>
      <c r="T28" s="207">
        <f>IF('Water-Meter'!AD32&lt;0,"0",'Water-Meter'!AD32)</f>
        <v>16</v>
      </c>
      <c r="U28" s="207">
        <f>IF('Water-Meter'!AG32&lt;0,"0",'Water-Meter'!AG32)</f>
        <v>0</v>
      </c>
      <c r="V28" s="207">
        <f>IF('Water-Meter'!AJ32&lt;0,"0",'Water-Meter'!AJ32)</f>
        <v>35</v>
      </c>
      <c r="W28" s="21">
        <f>'Water-Meter'!AN32</f>
        <v>164</v>
      </c>
      <c r="X28" s="337">
        <v>31</v>
      </c>
    </row>
    <row r="29" spans="1:24" x14ac:dyDescent="0.2">
      <c r="A29" s="371" t="s">
        <v>23</v>
      </c>
      <c r="B29" s="368">
        <f t="shared" si="0"/>
        <v>28</v>
      </c>
      <c r="C29" s="373">
        <v>12</v>
      </c>
      <c r="D29" s="374">
        <v>2021</v>
      </c>
      <c r="E29" s="369">
        <f>'UTILITY REPORT 1'!I30</f>
        <v>186.49</v>
      </c>
      <c r="F29" s="369">
        <f>'UTILITY REPORT 1'!E30</f>
        <v>2053.59</v>
      </c>
      <c r="G29" s="370">
        <f>'UTILITY REPORT 1'!F30</f>
        <v>4676</v>
      </c>
      <c r="H29" s="369">
        <f>IF('Kit report'!F31&lt;0,"0",'Kit report'!F31)</f>
        <v>203.99999999986903</v>
      </c>
      <c r="I29" s="369">
        <f>IF('Kit report'!X31&lt;0,"0",'Kit report'!X31)</f>
        <v>840.00000000014552</v>
      </c>
      <c r="J29" s="369">
        <f>IF('Utility summery'!H33&lt;0,"0",'Utility summery'!H33)</f>
        <v>61</v>
      </c>
      <c r="K29" s="370">
        <f>IF('UTILITY REPORT 1'!H30&lt;0,"0",'UTILITY REPORT 1'!H30)</f>
        <v>77</v>
      </c>
      <c r="L29" s="369">
        <f>'Water-Meter'!K33</f>
        <v>3</v>
      </c>
      <c r="M29" s="370">
        <f>'Water-Meter'!H33</f>
        <v>0</v>
      </c>
      <c r="N29" s="370">
        <f>'Water-Meter'!Q33</f>
        <v>9</v>
      </c>
      <c r="O29" s="369" t="e">
        <f>K29*E29+H29*I29+#REF!*#REF!+J29*L29</f>
        <v>#REF!</v>
      </c>
      <c r="P29" s="375">
        <f>'Water-Meter'!E33</f>
        <v>109</v>
      </c>
      <c r="Q29" s="207">
        <f>IF('Water-Meter'!U33&lt;0,"0",'Water-Meter'!U33)</f>
        <v>1</v>
      </c>
      <c r="R29" s="207">
        <f>IF('Water-Meter'!X33&lt;0,"0",'Water-Meter'!X33)</f>
        <v>0</v>
      </c>
      <c r="S29" s="207">
        <f>IF('Water-Meter'!AA33&lt;0,"0",'Water-Meter'!AA33)</f>
        <v>39</v>
      </c>
      <c r="T29" s="207">
        <f>IF('Water-Meter'!AD33&lt;0,"0",'Water-Meter'!AD33)</f>
        <v>14</v>
      </c>
      <c r="U29" s="207">
        <f>IF('Water-Meter'!AG33&lt;0,"0",'Water-Meter'!AG33)</f>
        <v>0</v>
      </c>
      <c r="V29" s="207">
        <f>IF('Water-Meter'!AJ33&lt;0,"0",'Water-Meter'!AJ33)</f>
        <v>36</v>
      </c>
      <c r="W29" s="21">
        <f>'Water-Meter'!AN33</f>
        <v>90</v>
      </c>
      <c r="X29" s="337">
        <v>34</v>
      </c>
    </row>
    <row r="30" spans="1:24" x14ac:dyDescent="0.2">
      <c r="A30" s="371" t="s">
        <v>23</v>
      </c>
      <c r="B30" s="368">
        <f t="shared" si="0"/>
        <v>29</v>
      </c>
      <c r="C30" s="373">
        <v>12</v>
      </c>
      <c r="D30" s="374">
        <v>2021</v>
      </c>
      <c r="E30" s="369">
        <f>'UTILITY REPORT 1'!I31</f>
        <v>236.12</v>
      </c>
      <c r="F30" s="369">
        <f>'UTILITY REPORT 1'!E31</f>
        <v>2039.95</v>
      </c>
      <c r="G30" s="370">
        <f>'UTILITY REPORT 1'!F31</f>
        <v>4892</v>
      </c>
      <c r="H30" s="369">
        <f>IF('Kit report'!F32&lt;0,"0",'Kit report'!F32)</f>
        <v>180</v>
      </c>
      <c r="I30" s="369">
        <f>IF('Kit report'!X32&lt;0,"0",'Kit report'!X32)</f>
        <v>840.00000000014552</v>
      </c>
      <c r="J30" s="369">
        <f>IF('Utility summery'!H34&lt;0,"0",'Utility summery'!H34)</f>
        <v>63</v>
      </c>
      <c r="K30" s="370">
        <f>IF('UTILITY REPORT 1'!H31&lt;0,"0",'UTILITY REPORT 1'!H31)</f>
        <v>101</v>
      </c>
      <c r="L30" s="369">
        <f>'Water-Meter'!K34</f>
        <v>5</v>
      </c>
      <c r="M30" s="370">
        <f>'Water-Meter'!H34</f>
        <v>0</v>
      </c>
      <c r="N30" s="370">
        <f>'Water-Meter'!Q34</f>
        <v>14</v>
      </c>
      <c r="O30" s="369" t="e">
        <f>K30*E30+H30*I30+#REF!*#REF!+J30*L30</f>
        <v>#REF!</v>
      </c>
      <c r="P30" s="375">
        <f>'Water-Meter'!E34</f>
        <v>111</v>
      </c>
      <c r="Q30" s="207">
        <f>IF('Water-Meter'!U34&lt;0,"0",'Water-Meter'!U34)</f>
        <v>48</v>
      </c>
      <c r="R30" s="207">
        <f>IF('Water-Meter'!X34&lt;0,"0",'Water-Meter'!X34)</f>
        <v>0</v>
      </c>
      <c r="S30" s="207">
        <f>IF('Water-Meter'!AA34&lt;0,"0",'Water-Meter'!AA34)</f>
        <v>44</v>
      </c>
      <c r="T30" s="207">
        <f>IF('Water-Meter'!AD34&lt;0,"0",'Water-Meter'!AD34)</f>
        <v>15</v>
      </c>
      <c r="U30" s="207">
        <f>IF('Water-Meter'!AG34&lt;0,"0",'Water-Meter'!AG34)</f>
        <v>0</v>
      </c>
      <c r="V30" s="207">
        <f>IF('Water-Meter'!AJ34&lt;0,"0",'Water-Meter'!AJ34)</f>
        <v>37</v>
      </c>
      <c r="W30" s="21">
        <f>'Water-Meter'!AN34</f>
        <v>144</v>
      </c>
      <c r="X30" s="337">
        <v>42</v>
      </c>
    </row>
    <row r="31" spans="1:24" x14ac:dyDescent="0.2">
      <c r="A31" s="371" t="s">
        <v>23</v>
      </c>
      <c r="B31" s="368">
        <v>30</v>
      </c>
      <c r="C31" s="373">
        <v>12</v>
      </c>
      <c r="D31" s="374">
        <v>2021</v>
      </c>
      <c r="E31" s="369">
        <f>'UTILITY REPORT 1'!I32</f>
        <v>34.26</v>
      </c>
      <c r="F31" s="369">
        <f>'UTILITY REPORT 1'!E32</f>
        <v>2039.77</v>
      </c>
      <c r="G31" s="370">
        <f>'UTILITY REPORT 1'!F32</f>
        <v>4766</v>
      </c>
      <c r="H31" s="369">
        <f>IF('Kit report'!F33&lt;0,"0",'Kit report'!F33)</f>
        <v>216.00000000013097</v>
      </c>
      <c r="I31" s="369">
        <f>IF('Kit report'!X33&lt;0,"0",'Kit report'!X33)</f>
        <v>900</v>
      </c>
      <c r="J31" s="369">
        <f>IF('Utility summery'!H35&lt;0,"0",'Utility summery'!H35)</f>
        <v>49</v>
      </c>
      <c r="K31" s="370">
        <f>IF('UTILITY REPORT 1'!H32&lt;0,"0",'UTILITY REPORT 1'!H32)</f>
        <v>149</v>
      </c>
      <c r="L31" s="369">
        <f>'Water-Meter'!K35</f>
        <v>3</v>
      </c>
      <c r="M31" s="370">
        <f>'Water-Meter'!H35</f>
        <v>0</v>
      </c>
      <c r="N31" s="370">
        <f>'Water-Meter'!Q35</f>
        <v>10</v>
      </c>
      <c r="O31" s="369" t="e">
        <f>K31*E31+H31*I31+#REF!*#REF!+J31*L31</f>
        <v>#REF!</v>
      </c>
      <c r="P31" s="375">
        <f>'Water-Meter'!E35</f>
        <v>102</v>
      </c>
      <c r="Q31" s="207">
        <f>IF('Water-Meter'!U35&lt;0,"0",'Water-Meter'!U35)</f>
        <v>25</v>
      </c>
      <c r="R31" s="207">
        <f>IF('Water-Meter'!X35&lt;0,"0",'Water-Meter'!X35)</f>
        <v>0</v>
      </c>
      <c r="S31" s="207">
        <f>IF('Water-Meter'!AA35&lt;0,"0",'Water-Meter'!AA35)</f>
        <v>43</v>
      </c>
      <c r="T31" s="207">
        <f>IF('Water-Meter'!AD35&lt;0,"0",'Water-Meter'!AD35)</f>
        <v>14</v>
      </c>
      <c r="U31" s="207">
        <f>IF('Water-Meter'!AG35&lt;0,"0",'Water-Meter'!AG35)</f>
        <v>0</v>
      </c>
      <c r="V31" s="207">
        <f>IF('Water-Meter'!AJ35&lt;0,"0",'Water-Meter'!AJ35)</f>
        <v>36</v>
      </c>
      <c r="W31" s="21">
        <f>'Water-Meter'!AN35</f>
        <v>118</v>
      </c>
      <c r="X31" s="337">
        <v>48</v>
      </c>
    </row>
    <row r="32" spans="1:24" x14ac:dyDescent="0.2">
      <c r="A32" s="371" t="s">
        <v>23</v>
      </c>
      <c r="B32" s="368">
        <v>31</v>
      </c>
      <c r="C32" s="373">
        <v>12</v>
      </c>
      <c r="D32" s="374">
        <v>2021</v>
      </c>
      <c r="E32" s="369">
        <f>'UTILITY REPORT 1'!I33</f>
        <v>882.87</v>
      </c>
      <c r="F32" s="369">
        <f>'UTILITY REPORT 1'!E33</f>
        <v>1894.18</v>
      </c>
      <c r="G32" s="370">
        <f>'UTILITY REPORT 1'!F33</f>
        <v>4562</v>
      </c>
      <c r="H32" s="369">
        <f>IF('Kit report'!F34&lt;0,"0",'Kit report'!F34)</f>
        <v>263.99999999986903</v>
      </c>
      <c r="I32" s="369">
        <f>IF('Kit report'!X34&lt;0,"0",'Kit report'!X34)</f>
        <v>800</v>
      </c>
      <c r="J32" s="369">
        <f>IF('Utility summery'!H36&lt;0,"0",'Utility summery'!H36)</f>
        <v>51</v>
      </c>
      <c r="K32" s="370">
        <f>IF('UTILITY REPORT 1'!H33&lt;0,"0",'UTILITY REPORT 1'!H33)</f>
        <v>156</v>
      </c>
      <c r="L32" s="369">
        <f>'Water-Meter'!K36</f>
        <v>3</v>
      </c>
      <c r="M32" s="370">
        <f>'Water-Meter'!H36</f>
        <v>0</v>
      </c>
      <c r="N32" s="370">
        <f>'Water-Meter'!Q36</f>
        <v>9</v>
      </c>
      <c r="O32" s="207"/>
      <c r="P32" s="375">
        <f>'Water-Meter'!E36</f>
        <v>102</v>
      </c>
      <c r="Q32" s="207">
        <f>IF('Water-Meter'!U36&lt;0,"0",'Water-Meter'!U36)</f>
        <v>0</v>
      </c>
      <c r="R32" s="207">
        <f>IF('Water-Meter'!X36&lt;0,"0",'Water-Meter'!X36)</f>
        <v>0</v>
      </c>
      <c r="S32" s="207">
        <f>IF('Water-Meter'!AA36&lt;0,"0",'Water-Meter'!AA36)</f>
        <v>39</v>
      </c>
      <c r="T32" s="207">
        <f>IF('Water-Meter'!AD36&lt;0,"0",'Water-Meter'!AD36)</f>
        <v>11</v>
      </c>
      <c r="U32" s="207">
        <f>IF('Water-Meter'!AG36&lt;0,"0",'Water-Meter'!AG36)</f>
        <v>0</v>
      </c>
      <c r="V32" s="207">
        <f>IF('Water-Meter'!AJ36&lt;0,"0",'Water-Meter'!AJ36)</f>
        <v>33</v>
      </c>
      <c r="W32" s="21">
        <f>'Water-Meter'!AN36</f>
        <v>83</v>
      </c>
      <c r="X32" s="337">
        <v>48</v>
      </c>
    </row>
    <row r="33" spans="5:12" x14ac:dyDescent="0.2">
      <c r="E33" s="338"/>
      <c r="F33" s="338"/>
      <c r="H33" s="338"/>
      <c r="I33" s="338"/>
      <c r="J33" s="338"/>
      <c r="L33" s="338"/>
    </row>
    <row r="34" spans="5:12" x14ac:dyDescent="0.2">
      <c r="E34" s="338"/>
      <c r="F34" s="338"/>
      <c r="H34" s="338"/>
      <c r="I34" s="338"/>
      <c r="J34" s="338"/>
      <c r="L34" s="338"/>
    </row>
    <row r="35" spans="5:12" x14ac:dyDescent="0.2">
      <c r="E35" s="338"/>
      <c r="F35" s="338"/>
      <c r="H35" s="338"/>
      <c r="I35" s="338"/>
      <c r="J35" s="338"/>
      <c r="L35" s="338"/>
    </row>
    <row r="36" spans="5:12" x14ac:dyDescent="0.2">
      <c r="E36" s="338"/>
      <c r="F36" s="338"/>
      <c r="H36" s="338"/>
      <c r="I36" s="338"/>
      <c r="J36" s="338"/>
      <c r="L36" s="338"/>
    </row>
    <row r="37" spans="5:12" x14ac:dyDescent="0.2">
      <c r="E37" s="338"/>
      <c r="F37" s="338"/>
      <c r="H37" s="338"/>
      <c r="I37" s="338"/>
      <c r="J37" s="338"/>
      <c r="L37" s="338"/>
    </row>
    <row r="38" spans="5:12" x14ac:dyDescent="0.2">
      <c r="E38" s="338"/>
      <c r="F38" s="338"/>
      <c r="H38" s="338"/>
      <c r="I38" s="338"/>
      <c r="J38" s="338"/>
      <c r="L38" s="3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L39"/>
  <sheetViews>
    <sheetView workbookViewId="0">
      <selection activeCell="O27" sqref="O27"/>
    </sheetView>
  </sheetViews>
  <sheetFormatPr defaultColWidth="11.5703125" defaultRowHeight="12.75" x14ac:dyDescent="0.2"/>
  <cols>
    <col min="1" max="1" width="12.42578125" style="11" customWidth="1"/>
    <col min="2" max="3" width="11.5703125" style="335"/>
    <col min="4" max="4" width="13.42578125" style="336" customWidth="1"/>
    <col min="5" max="5" width="12.5703125" style="337" customWidth="1"/>
    <col min="6" max="6" width="14.42578125" style="11" customWidth="1"/>
    <col min="7" max="7" width="11.5703125" style="11"/>
    <col min="8" max="8" width="11.5703125" style="343"/>
    <col min="9" max="9" width="11.5703125" style="11"/>
    <col min="10" max="10" width="11.5703125" style="343"/>
    <col min="11" max="11" width="11.5703125" style="33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333" customFormat="1" ht="60.75" thickBot="1" x14ac:dyDescent="0.3">
      <c r="A1" s="327" t="s">
        <v>0</v>
      </c>
      <c r="B1" s="328" t="s">
        <v>1</v>
      </c>
      <c r="C1" s="328" t="s">
        <v>2</v>
      </c>
      <c r="D1" s="329" t="s">
        <v>3</v>
      </c>
      <c r="E1" s="330" t="s">
        <v>6</v>
      </c>
      <c r="F1" s="331" t="s">
        <v>24</v>
      </c>
      <c r="G1" s="331" t="s">
        <v>25</v>
      </c>
      <c r="H1" s="341" t="s">
        <v>26</v>
      </c>
      <c r="I1" s="331" t="s">
        <v>27</v>
      </c>
      <c r="J1" s="341" t="s">
        <v>28</v>
      </c>
      <c r="K1" s="330" t="s">
        <v>22</v>
      </c>
      <c r="L1" s="332" t="s">
        <v>29</v>
      </c>
    </row>
    <row r="2" spans="1:12" x14ac:dyDescent="0.2">
      <c r="A2" s="334" t="s">
        <v>23</v>
      </c>
      <c r="B2" s="335">
        <v>1</v>
      </c>
      <c r="C2" s="335">
        <v>12</v>
      </c>
      <c r="D2" s="336">
        <v>2021</v>
      </c>
      <c r="E2" s="337">
        <f>'UTILITY REPORT 1'!F3</f>
        <v>3130</v>
      </c>
      <c r="F2" s="338">
        <f>('UTILITY REPORT 1'!E3*'UTILITY REPORT 1'!D3)/'UTILITY REPORT 1'!F3</f>
        <v>0.42833546325878596</v>
      </c>
      <c r="G2" s="338">
        <f>IF('Utility summery'!M6&lt;0,"0",'Utility summery'!M6)</f>
        <v>101.24399999997696</v>
      </c>
      <c r="H2" s="342">
        <v>2.165</v>
      </c>
      <c r="I2" s="338">
        <f>IF('UTILITY REPORT 1'!G3&lt;0,"0",'UTILITY REPORT 1'!G3)</f>
        <v>79</v>
      </c>
      <c r="J2" s="342">
        <v>0</v>
      </c>
      <c r="K2" s="337">
        <f>Submetering!X2</f>
        <v>6</v>
      </c>
      <c r="L2" s="339" t="e">
        <f>E2*F2+G2*H2+#REF!*#REF!+I2*J2</f>
        <v>#REF!</v>
      </c>
    </row>
    <row r="3" spans="1:12" x14ac:dyDescent="0.2">
      <c r="A3" s="334" t="s">
        <v>23</v>
      </c>
      <c r="B3" s="335">
        <f>B2+1</f>
        <v>2</v>
      </c>
      <c r="C3" s="335">
        <v>12</v>
      </c>
      <c r="D3" s="336">
        <v>2021</v>
      </c>
      <c r="E3" s="337">
        <f>'UTILITY REPORT 1'!F4</f>
        <v>3105</v>
      </c>
      <c r="F3" s="338">
        <f>('UTILITY REPORT 1'!E4*'UTILITY REPORT 1'!D4)/'UTILITY REPORT 1'!F4</f>
        <v>0.40863446054750402</v>
      </c>
      <c r="G3" s="338">
        <f>IF('Utility summery'!M7&lt;0,"0",'Utility summery'!M7)</f>
        <v>70.311999999982078</v>
      </c>
      <c r="H3" s="342">
        <v>2.165</v>
      </c>
      <c r="I3" s="338">
        <f>IF('UTILITY REPORT 1'!G4&lt;0,"0",'UTILITY REPORT 1'!G4)</f>
        <v>67</v>
      </c>
      <c r="J3" s="342">
        <v>0</v>
      </c>
      <c r="K3" s="337">
        <f>Submetering!X3</f>
        <v>5</v>
      </c>
      <c r="L3" s="339" t="e">
        <f>E3*F3+G3*H3+#REF!*#REF!+I3*J3</f>
        <v>#REF!</v>
      </c>
    </row>
    <row r="4" spans="1:12" x14ac:dyDescent="0.2">
      <c r="A4" s="334" t="s">
        <v>23</v>
      </c>
      <c r="B4" s="335">
        <f t="shared" ref="B4:B30" si="0">B3+1</f>
        <v>3</v>
      </c>
      <c r="C4" s="335">
        <v>12</v>
      </c>
      <c r="D4" s="336">
        <v>2021</v>
      </c>
      <c r="E4" s="337">
        <f>'UTILITY REPORT 1'!F5</f>
        <v>2910</v>
      </c>
      <c r="F4" s="338">
        <f>('UTILITY REPORT 1'!E5*'UTILITY REPORT 1'!D5)/'UTILITY REPORT 1'!F5</f>
        <v>0.40452577319587629</v>
      </c>
      <c r="G4" s="338">
        <f>IF('Utility summery'!M8&lt;0,"0",'Utility summery'!M8)</f>
        <v>59.576000000035862</v>
      </c>
      <c r="H4" s="342">
        <v>2.165</v>
      </c>
      <c r="I4" s="338">
        <f>IF('UTILITY REPORT 1'!G5&lt;0,"0",'UTILITY REPORT 1'!G5)</f>
        <v>83</v>
      </c>
      <c r="J4" s="342">
        <v>0</v>
      </c>
      <c r="K4" s="337">
        <f>Submetering!X4</f>
        <v>3</v>
      </c>
      <c r="L4" s="339" t="e">
        <f>E4*F4+G4*H4+#REF!*#REF!+I4*J4</f>
        <v>#REF!</v>
      </c>
    </row>
    <row r="5" spans="1:12" x14ac:dyDescent="0.2">
      <c r="A5" s="334" t="s">
        <v>23</v>
      </c>
      <c r="B5" s="335">
        <f t="shared" si="0"/>
        <v>4</v>
      </c>
      <c r="C5" s="335">
        <v>12</v>
      </c>
      <c r="D5" s="336">
        <v>2021</v>
      </c>
      <c r="E5" s="337">
        <f>'UTILITY REPORT 1'!F6</f>
        <v>3289</v>
      </c>
      <c r="F5" s="338">
        <f>('UTILITY REPORT 1'!E6*'UTILITY REPORT 1'!D6)/'UTILITY REPORT 1'!F6</f>
        <v>0.39319550015202193</v>
      </c>
      <c r="G5" s="338">
        <f>IF('Utility summery'!M9&lt;0,"0",'Utility summery'!M9)</f>
        <v>61.511999999982073</v>
      </c>
      <c r="H5" s="342">
        <v>2.165</v>
      </c>
      <c r="I5" s="338">
        <f>IF('UTILITY REPORT 1'!G6&lt;0,"0",'UTILITY REPORT 1'!G6)</f>
        <v>67</v>
      </c>
      <c r="J5" s="342">
        <v>0</v>
      </c>
      <c r="K5" s="337">
        <f>Submetering!X5</f>
        <v>8</v>
      </c>
      <c r="L5" s="339" t="e">
        <f>E5*F5+G5*H5+#REF!*#REF!+I5*J5</f>
        <v>#REF!</v>
      </c>
    </row>
    <row r="6" spans="1:12" x14ac:dyDescent="0.2">
      <c r="A6" s="334" t="s">
        <v>23</v>
      </c>
      <c r="B6" s="335">
        <f t="shared" si="0"/>
        <v>5</v>
      </c>
      <c r="C6" s="335">
        <v>12</v>
      </c>
      <c r="D6" s="336">
        <v>2021</v>
      </c>
      <c r="E6" s="337">
        <f>'UTILITY REPORT 1'!F7</f>
        <v>3146</v>
      </c>
      <c r="F6" s="338">
        <f>('UTILITY REPORT 1'!E7*'UTILITY REPORT 1'!D7)/'UTILITY REPORT 1'!F7</f>
        <v>0.39635410044500957</v>
      </c>
      <c r="G6" s="338">
        <f>IF('Utility summery'!M10&lt;0,"0",'Utility summery'!M10)</f>
        <v>87.340000000025611</v>
      </c>
      <c r="H6" s="342">
        <v>2.165</v>
      </c>
      <c r="I6" s="338">
        <f>IF('UTILITY REPORT 1'!G7&lt;0,"0",'UTILITY REPORT 1'!G7)</f>
        <v>62</v>
      </c>
      <c r="J6" s="342">
        <v>0</v>
      </c>
      <c r="K6" s="337">
        <f>Submetering!X6</f>
        <v>6</v>
      </c>
      <c r="L6" s="339" t="e">
        <f>E6*F6+G6*H6+#REF!*#REF!+I6*J6</f>
        <v>#REF!</v>
      </c>
    </row>
    <row r="7" spans="1:12" x14ac:dyDescent="0.2">
      <c r="A7" s="334" t="s">
        <v>23</v>
      </c>
      <c r="B7" s="335">
        <f t="shared" si="0"/>
        <v>6</v>
      </c>
      <c r="C7" s="335">
        <v>12</v>
      </c>
      <c r="D7" s="336">
        <v>2021</v>
      </c>
      <c r="E7" s="337">
        <f>'UTILITY REPORT 1'!F8</f>
        <v>3361</v>
      </c>
      <c r="F7" s="338">
        <f>('UTILITY REPORT 1'!E8*'UTILITY REPORT 1'!D8)/'UTILITY REPORT 1'!F8</f>
        <v>0.39449271050282658</v>
      </c>
      <c r="G7" s="338">
        <f>IF('Utility summery'!M11&lt;0,"0",'Utility summery'!M11)</f>
        <v>107.49199999996928</v>
      </c>
      <c r="H7" s="342">
        <v>2.165</v>
      </c>
      <c r="I7" s="338">
        <f>IF('UTILITY REPORT 1'!G8&lt;0,"0",'UTILITY REPORT 1'!G8)</f>
        <v>57</v>
      </c>
      <c r="J7" s="342">
        <v>0</v>
      </c>
      <c r="K7" s="337">
        <f>Submetering!X7</f>
        <v>9</v>
      </c>
      <c r="L7" s="339" t="e">
        <f>E7*F7+G7*H7+#REF!*#REF!+I7*J7</f>
        <v>#REF!</v>
      </c>
    </row>
    <row r="8" spans="1:12" x14ac:dyDescent="0.2">
      <c r="A8" s="334" t="s">
        <v>23</v>
      </c>
      <c r="B8" s="335">
        <f t="shared" si="0"/>
        <v>7</v>
      </c>
      <c r="C8" s="335">
        <v>12</v>
      </c>
      <c r="D8" s="336">
        <v>2021</v>
      </c>
      <c r="E8" s="337">
        <f>'UTILITY REPORT 1'!F9</f>
        <v>3380</v>
      </c>
      <c r="F8" s="338">
        <f>('UTILITY REPORT 1'!E9*'UTILITY REPORT 1'!D9)/'UTILITY REPORT 1'!F9</f>
        <v>0.40501183431952664</v>
      </c>
      <c r="G8" s="338">
        <f>IF('Utility summery'!M12&lt;0,"0",'Utility summery'!M12)</f>
        <v>90.68400000000257</v>
      </c>
      <c r="H8" s="342">
        <v>2.165</v>
      </c>
      <c r="I8" s="338">
        <f>IF('UTILITY REPORT 1'!G9&lt;0,"0",'UTILITY REPORT 1'!G9)</f>
        <v>73</v>
      </c>
      <c r="J8" s="342">
        <v>0</v>
      </c>
      <c r="K8" s="337">
        <f>Submetering!X8</f>
        <v>9</v>
      </c>
      <c r="L8" s="339" t="e">
        <f>E8*F8+G8*H8+#REF!*#REF!+I8*J8</f>
        <v>#REF!</v>
      </c>
    </row>
    <row r="9" spans="1:12" x14ac:dyDescent="0.2">
      <c r="A9" s="334" t="s">
        <v>23</v>
      </c>
      <c r="B9" s="335">
        <f t="shared" si="0"/>
        <v>8</v>
      </c>
      <c r="C9" s="335">
        <v>12</v>
      </c>
      <c r="D9" s="336">
        <v>2021</v>
      </c>
      <c r="E9" s="337">
        <f>'UTILITY REPORT 1'!F10</f>
        <v>3662</v>
      </c>
      <c r="F9" s="338">
        <f>('UTILITY REPORT 1'!E10*'UTILITY REPORT 1'!D10)/'UTILITY REPORT 1'!F10</f>
        <v>0.41714909885308571</v>
      </c>
      <c r="G9" s="338">
        <f>IF('Utility summery'!M13&lt;0,"0",'Utility summery'!M13)</f>
        <v>99.879999999987206</v>
      </c>
      <c r="H9" s="342">
        <v>2.165</v>
      </c>
      <c r="I9" s="338">
        <f>IF('UTILITY REPORT 1'!G10&lt;0,"0",'UTILITY REPORT 1'!G10)</f>
        <v>80</v>
      </c>
      <c r="J9" s="342">
        <v>0</v>
      </c>
      <c r="K9" s="337">
        <f>Submetering!X9</f>
        <v>12</v>
      </c>
      <c r="L9" s="339" t="e">
        <f>E9*F9+G9*H9+#REF!*#REF!+I9*J9</f>
        <v>#REF!</v>
      </c>
    </row>
    <row r="10" spans="1:12" x14ac:dyDescent="0.2">
      <c r="A10" s="334" t="s">
        <v>23</v>
      </c>
      <c r="B10" s="335">
        <f t="shared" si="0"/>
        <v>9</v>
      </c>
      <c r="C10" s="335">
        <v>12</v>
      </c>
      <c r="D10" s="336">
        <v>2021</v>
      </c>
      <c r="E10" s="337">
        <f>'UTILITY REPORT 1'!F11</f>
        <v>3399</v>
      </c>
      <c r="F10" s="338">
        <f>('UTILITY REPORT 1'!E11*'UTILITY REPORT 1'!D11)/'UTILITY REPORT 1'!F11</f>
        <v>0.40354810238305389</v>
      </c>
      <c r="G10" s="338">
        <f>IF('Utility summery'!M14&lt;0,"0",'Utility summery'!M14)</f>
        <v>108.98800000001793</v>
      </c>
      <c r="H10" s="342">
        <v>2.165</v>
      </c>
      <c r="I10" s="338">
        <f>IF('UTILITY REPORT 1'!G11&lt;0,"0",'UTILITY REPORT 1'!G11)</f>
        <v>65</v>
      </c>
      <c r="J10" s="342">
        <v>0</v>
      </c>
      <c r="K10" s="337">
        <f>Submetering!X10</f>
        <v>10</v>
      </c>
      <c r="L10" s="339" t="e">
        <f>E10*F10+G10*H10+#REF!*#REF!+I10*J10</f>
        <v>#REF!</v>
      </c>
    </row>
    <row r="11" spans="1:12" x14ac:dyDescent="0.2">
      <c r="A11" s="334" t="s">
        <v>23</v>
      </c>
      <c r="B11" s="335">
        <f t="shared" si="0"/>
        <v>10</v>
      </c>
      <c r="C11" s="335">
        <v>12</v>
      </c>
      <c r="D11" s="336">
        <v>2021</v>
      </c>
      <c r="E11" s="337">
        <f>'UTILITY REPORT 1'!F12</f>
        <v>3440</v>
      </c>
      <c r="F11" s="338">
        <f>('UTILITY REPORT 1'!E12*'UTILITY REPORT 1'!D12)/'UTILITY REPORT 1'!F12</f>
        <v>0.39166569767441856</v>
      </c>
      <c r="G11" s="338">
        <f>IF('Utility summery'!M15&lt;0,"0",'Utility summery'!M15)</f>
        <v>110.00000000000001</v>
      </c>
      <c r="H11" s="342">
        <v>2.165</v>
      </c>
      <c r="I11" s="338">
        <f>IF('UTILITY REPORT 1'!G12&lt;0,"0",'UTILITY REPORT 1'!G12)</f>
        <v>71</v>
      </c>
      <c r="J11" s="342">
        <v>0</v>
      </c>
      <c r="K11" s="337">
        <f>Submetering!X11</f>
        <v>12</v>
      </c>
      <c r="L11" s="339" t="e">
        <f>E11*F11+G11*H11+#REF!*#REF!+I11*J11</f>
        <v>#REF!</v>
      </c>
    </row>
    <row r="12" spans="1:12" x14ac:dyDescent="0.2">
      <c r="A12" s="334" t="s">
        <v>23</v>
      </c>
      <c r="B12" s="335">
        <f t="shared" si="0"/>
        <v>11</v>
      </c>
      <c r="C12" s="335">
        <v>12</v>
      </c>
      <c r="D12" s="336">
        <v>2021</v>
      </c>
      <c r="E12" s="337">
        <f>'UTILITY REPORT 1'!F13</f>
        <v>3696</v>
      </c>
      <c r="F12" s="338">
        <f>('UTILITY REPORT 1'!E13*'UTILITY REPORT 1'!D13)/'UTILITY REPORT 1'!F13</f>
        <v>0.40930465367965368</v>
      </c>
      <c r="G12" s="338">
        <f>IF('Utility summery'!M16&lt;0,"0",'Utility summery'!M16)</f>
        <v>105.37999999998721</v>
      </c>
      <c r="H12" s="342">
        <v>2.165</v>
      </c>
      <c r="I12" s="338">
        <f>IF('UTILITY REPORT 1'!G13&lt;0,"0",'UTILITY REPORT 1'!G13)</f>
        <v>72</v>
      </c>
      <c r="J12" s="342">
        <v>0</v>
      </c>
      <c r="K12" s="337">
        <f>Submetering!X12</f>
        <v>12</v>
      </c>
      <c r="L12" s="339" t="e">
        <f>E12*F12+G12*H12+#REF!*#REF!+I12*J12</f>
        <v>#REF!</v>
      </c>
    </row>
    <row r="13" spans="1:12" x14ac:dyDescent="0.2">
      <c r="A13" s="334" t="s">
        <v>23</v>
      </c>
      <c r="B13" s="335">
        <f t="shared" si="0"/>
        <v>12</v>
      </c>
      <c r="C13" s="335">
        <v>12</v>
      </c>
      <c r="D13" s="336">
        <v>2021</v>
      </c>
      <c r="E13" s="337">
        <f>'UTILITY REPORT 1'!F14</f>
        <v>3646</v>
      </c>
      <c r="F13" s="338">
        <f>('UTILITY REPORT 1'!E14*'UTILITY REPORT 1'!D14)/'UTILITY REPORT 1'!F14</f>
        <v>0.40736149204607791</v>
      </c>
      <c r="G13" s="338">
        <f>IF('Utility summery'!M17&lt;0,"0",'Utility summery'!M17)</f>
        <v>106.65600000002306</v>
      </c>
      <c r="H13" s="342">
        <v>2.165</v>
      </c>
      <c r="I13" s="338">
        <f>IF('UTILITY REPORT 1'!G14&lt;0,"0",'UTILITY REPORT 1'!G14)</f>
        <v>65</v>
      </c>
      <c r="J13" s="342">
        <v>0</v>
      </c>
      <c r="K13" s="337">
        <f>Submetering!X13</f>
        <v>12</v>
      </c>
      <c r="L13" s="339" t="e">
        <f>E13*F13+G13*H13+#REF!*#REF!+I13*J13</f>
        <v>#REF!</v>
      </c>
    </row>
    <row r="14" spans="1:12" x14ac:dyDescent="0.2">
      <c r="A14" s="334" t="s">
        <v>23</v>
      </c>
      <c r="B14" s="335">
        <f t="shared" si="0"/>
        <v>13</v>
      </c>
      <c r="C14" s="335">
        <v>12</v>
      </c>
      <c r="D14" s="336">
        <v>2021</v>
      </c>
      <c r="E14" s="337">
        <f>'UTILITY REPORT 1'!F15</f>
        <v>3967</v>
      </c>
      <c r="F14" s="338">
        <f>('UTILITY REPORT 1'!E15*'UTILITY REPORT 1'!D15)/'UTILITY REPORT 1'!F15</f>
        <v>0.39819258885807918</v>
      </c>
      <c r="G14" s="338">
        <f>IF('Utility summery'!M18&lt;0,"0",'Utility summery'!M18)</f>
        <v>108.02000000001281</v>
      </c>
      <c r="H14" s="342">
        <v>2.165</v>
      </c>
      <c r="I14" s="338">
        <f>IF('UTILITY REPORT 1'!G15&lt;0,"0",'UTILITY REPORT 1'!G15)</f>
        <v>68</v>
      </c>
      <c r="J14" s="342">
        <v>0</v>
      </c>
      <c r="K14" s="337">
        <f>Submetering!X14</f>
        <v>15</v>
      </c>
      <c r="L14" s="339" t="e">
        <f>E14*F14+G14*H14+#REF!*#REF!+I14*J14</f>
        <v>#REF!</v>
      </c>
    </row>
    <row r="15" spans="1:12" x14ac:dyDescent="0.2">
      <c r="A15" s="334" t="s">
        <v>23</v>
      </c>
      <c r="B15" s="335">
        <f t="shared" si="0"/>
        <v>14</v>
      </c>
      <c r="C15" s="335">
        <v>12</v>
      </c>
      <c r="D15" s="336">
        <v>2021</v>
      </c>
      <c r="E15" s="337">
        <f>'UTILITY REPORT 1'!F16</f>
        <v>3411</v>
      </c>
      <c r="F15" s="338">
        <f>('UTILITY REPORT 1'!E16*'UTILITY REPORT 1'!D16)/'UTILITY REPORT 1'!F16</f>
        <v>0.39349750806215189</v>
      </c>
      <c r="G15" s="338">
        <f>IF('Utility summery'!M19&lt;0,"0",'Utility summery'!M19)</f>
        <v>103.66399999998977</v>
      </c>
      <c r="H15" s="342">
        <v>2.165</v>
      </c>
      <c r="I15" s="338">
        <f>IF('UTILITY REPORT 1'!G16&lt;0,"0",'UTILITY REPORT 1'!G16)</f>
        <v>78</v>
      </c>
      <c r="J15" s="342">
        <v>0</v>
      </c>
      <c r="K15" s="337">
        <f>Submetering!X15</f>
        <v>16</v>
      </c>
      <c r="L15" s="339" t="e">
        <f>E15*F15+G15*H15+#REF!*#REF!+I15*J15</f>
        <v>#REF!</v>
      </c>
    </row>
    <row r="16" spans="1:12" x14ac:dyDescent="0.2">
      <c r="A16" s="334" t="s">
        <v>23</v>
      </c>
      <c r="B16" s="335">
        <f t="shared" si="0"/>
        <v>15</v>
      </c>
      <c r="C16" s="335">
        <v>12</v>
      </c>
      <c r="D16" s="336">
        <v>2021</v>
      </c>
      <c r="E16" s="337">
        <f>'UTILITY REPORT 1'!F17</f>
        <v>3878</v>
      </c>
      <c r="F16" s="338">
        <f>('UTILITY REPORT 1'!E17*'UTILITY REPORT 1'!D17)/'UTILITY REPORT 1'!F17</f>
        <v>0.4130763280041258</v>
      </c>
      <c r="G16" s="338">
        <f>IF('Utility summery'!M20&lt;0,"0",'Utility summery'!M20)</f>
        <v>98.427999999979519</v>
      </c>
      <c r="H16" s="342">
        <v>2.165</v>
      </c>
      <c r="I16" s="338">
        <f>IF('UTILITY REPORT 1'!G17&lt;0,"0",'UTILITY REPORT 1'!G17)</f>
        <v>72</v>
      </c>
      <c r="J16" s="342">
        <v>0</v>
      </c>
      <c r="K16" s="337">
        <f>Submetering!X16</f>
        <v>17</v>
      </c>
      <c r="L16" s="339" t="e">
        <f>E16*F16+G16*H16+#REF!*#REF!+I16*J16</f>
        <v>#REF!</v>
      </c>
    </row>
    <row r="17" spans="1:12" x14ac:dyDescent="0.2">
      <c r="A17" s="334" t="s">
        <v>23</v>
      </c>
      <c r="B17" s="335">
        <f t="shared" si="0"/>
        <v>16</v>
      </c>
      <c r="C17" s="335">
        <v>12</v>
      </c>
      <c r="D17" s="336">
        <v>2021</v>
      </c>
      <c r="E17" s="337">
        <f>'UTILITY REPORT 1'!F18</f>
        <v>3906</v>
      </c>
      <c r="F17" s="338">
        <f>('UTILITY REPORT 1'!E18*'UTILITY REPORT 1'!D18)/'UTILITY REPORT 1'!F18</f>
        <v>0.39082693292370713</v>
      </c>
      <c r="G17" s="338">
        <f>IF('Utility summery'!M21&lt;0,"0",'Utility summery'!M21)</f>
        <v>105.02799999997951</v>
      </c>
      <c r="H17" s="342">
        <v>2.165</v>
      </c>
      <c r="I17" s="338">
        <f>IF('UTILITY REPORT 1'!G18&lt;0,"0",'UTILITY REPORT 1'!G18)</f>
        <v>73</v>
      </c>
      <c r="J17" s="342">
        <v>0</v>
      </c>
      <c r="K17" s="337">
        <f>Submetering!X17</f>
        <v>15</v>
      </c>
      <c r="L17" s="339" t="e">
        <f>E17*F17+G17*H17+#REF!*#REF!+I17*J17</f>
        <v>#REF!</v>
      </c>
    </row>
    <row r="18" spans="1:12" x14ac:dyDescent="0.2">
      <c r="A18" s="334" t="s">
        <v>23</v>
      </c>
      <c r="B18" s="335">
        <f t="shared" si="0"/>
        <v>17</v>
      </c>
      <c r="C18" s="335">
        <v>12</v>
      </c>
      <c r="D18" s="336">
        <v>2021</v>
      </c>
      <c r="E18" s="337">
        <f>'UTILITY REPORT 1'!F19</f>
        <v>3764</v>
      </c>
      <c r="F18" s="338">
        <f>('UTILITY REPORT 1'!E19*'UTILITY REPORT 1'!D19)/'UTILITY REPORT 1'!F19</f>
        <v>0.40365834218916041</v>
      </c>
      <c r="G18" s="338">
        <f>IF('Utility summery'!M22&lt;0,"0",'Utility summery'!M22)</f>
        <v>101.72800000004355</v>
      </c>
      <c r="H18" s="342">
        <v>2.165</v>
      </c>
      <c r="I18" s="338">
        <f>IF('UTILITY REPORT 1'!G19&lt;0,"0",'UTILITY REPORT 1'!G19)</f>
        <v>73</v>
      </c>
      <c r="J18" s="342">
        <v>0</v>
      </c>
      <c r="K18" s="337">
        <f>Submetering!X18</f>
        <v>15</v>
      </c>
      <c r="L18" s="339" t="e">
        <f>E18*F18+G18*H18+#REF!*#REF!+I18*J18</f>
        <v>#REF!</v>
      </c>
    </row>
    <row r="19" spans="1:12" x14ac:dyDescent="0.2">
      <c r="A19" s="334" t="s">
        <v>23</v>
      </c>
      <c r="B19" s="335">
        <f t="shared" si="0"/>
        <v>18</v>
      </c>
      <c r="C19" s="335">
        <v>12</v>
      </c>
      <c r="D19" s="336">
        <v>2021</v>
      </c>
      <c r="E19" s="337">
        <f>'UTILITY REPORT 1'!F20</f>
        <v>3882</v>
      </c>
      <c r="F19" s="338">
        <f>('UTILITY REPORT 1'!E20*'UTILITY REPORT 1'!D20)/'UTILITY REPORT 1'!F20</f>
        <v>0.3945440494590417</v>
      </c>
      <c r="G19" s="338">
        <f>IF('Utility summery'!M23&lt;0,"0",'Utility summery'!M23)</f>
        <v>107.27199999995646</v>
      </c>
      <c r="H19" s="342">
        <v>2.165</v>
      </c>
      <c r="I19" s="338">
        <f>IF('UTILITY REPORT 1'!G20&lt;0,"0",'UTILITY REPORT 1'!G20)</f>
        <v>85</v>
      </c>
      <c r="J19" s="342">
        <v>0</v>
      </c>
      <c r="K19" s="337">
        <f>Submetering!X19</f>
        <v>13</v>
      </c>
      <c r="L19" s="339" t="e">
        <f>E19*F19+G19*H19+#REF!*#REF!+I19*J19</f>
        <v>#REF!</v>
      </c>
    </row>
    <row r="20" spans="1:12" x14ac:dyDescent="0.2">
      <c r="A20" s="334" t="s">
        <v>23</v>
      </c>
      <c r="B20" s="335">
        <f t="shared" si="0"/>
        <v>19</v>
      </c>
      <c r="C20" s="335">
        <v>12</v>
      </c>
      <c r="D20" s="336">
        <v>2021</v>
      </c>
      <c r="E20" s="337">
        <f>'UTILITY REPORT 1'!F21</f>
        <v>3745</v>
      </c>
      <c r="F20" s="338">
        <f>('UTILITY REPORT 1'!E21*'UTILITY REPORT 1'!D21)/'UTILITY REPORT 1'!F21</f>
        <v>0.42474232309746324</v>
      </c>
      <c r="G20" s="338">
        <f>IF('Utility summery'!M24&lt;0,"0",'Utility summery'!M24)</f>
        <v>94.468000000005134</v>
      </c>
      <c r="H20" s="342">
        <v>2.165</v>
      </c>
      <c r="I20" s="338">
        <f>IF('UTILITY REPORT 1'!G21&lt;0,"0",'UTILITY REPORT 1'!G21)</f>
        <v>80</v>
      </c>
      <c r="J20" s="342">
        <v>0</v>
      </c>
      <c r="K20" s="337">
        <f>Submetering!X20</f>
        <v>10</v>
      </c>
      <c r="L20" s="339" t="e">
        <f>E20*F20+G20*H20+#REF!*#REF!+I20*J20</f>
        <v>#REF!</v>
      </c>
    </row>
    <row r="21" spans="1:12" x14ac:dyDescent="0.2">
      <c r="A21" s="334" t="s">
        <v>23</v>
      </c>
      <c r="B21" s="335">
        <f t="shared" si="0"/>
        <v>20</v>
      </c>
      <c r="C21" s="335">
        <v>12</v>
      </c>
      <c r="D21" s="336">
        <v>2021</v>
      </c>
      <c r="E21" s="337">
        <f>'UTILITY REPORT 1'!F22</f>
        <v>3257</v>
      </c>
      <c r="F21" s="338">
        <f>('UTILITY REPORT 1'!E22*'UTILITY REPORT 1'!D22)/'UTILITY REPORT 1'!F22</f>
        <v>0.39317777095486645</v>
      </c>
      <c r="G21" s="338">
        <f>IF('Utility summery'!M25&lt;0,"0",'Utility summery'!M25)</f>
        <v>87.868000000005125</v>
      </c>
      <c r="H21" s="342">
        <v>2.165</v>
      </c>
      <c r="I21" s="338">
        <f>IF('UTILITY REPORT 1'!G22&lt;0,"0",'UTILITY REPORT 1'!G22)</f>
        <v>76</v>
      </c>
      <c r="J21" s="342">
        <v>0</v>
      </c>
      <c r="K21" s="337">
        <f>Submetering!X21</f>
        <v>6</v>
      </c>
      <c r="L21" s="339" t="e">
        <f>E21*F21+G21*H21+#REF!*#REF!+I21*J21</f>
        <v>#REF!</v>
      </c>
    </row>
    <row r="22" spans="1:12" x14ac:dyDescent="0.2">
      <c r="A22" s="334" t="s">
        <v>23</v>
      </c>
      <c r="B22" s="335">
        <f t="shared" si="0"/>
        <v>21</v>
      </c>
      <c r="C22" s="335">
        <v>12</v>
      </c>
      <c r="D22" s="336">
        <v>2021</v>
      </c>
      <c r="E22" s="337">
        <f>'UTILITY REPORT 1'!F23</f>
        <v>4495</v>
      </c>
      <c r="F22" s="338">
        <f>('UTILITY REPORT 1'!E23*'UTILITY REPORT 1'!D23)/'UTILITY REPORT 1'!F23</f>
        <v>0.41178420467185761</v>
      </c>
      <c r="G22" s="338">
        <f>IF('Utility summery'!M26&lt;0,"0",'Utility summery'!M26)</f>
        <v>113.43199999999489</v>
      </c>
      <c r="H22" s="342">
        <v>2.165</v>
      </c>
      <c r="I22" s="338">
        <f>IF('UTILITY REPORT 1'!G23&lt;0,"0",'UTILITY REPORT 1'!G23)</f>
        <v>69</v>
      </c>
      <c r="J22" s="342">
        <v>0</v>
      </c>
      <c r="K22" s="337">
        <f>Submetering!X22</f>
        <v>9</v>
      </c>
      <c r="L22" s="339" t="e">
        <f>E22*F22+G22*H22+#REF!*#REF!+I22*J22</f>
        <v>#REF!</v>
      </c>
    </row>
    <row r="23" spans="1:12" x14ac:dyDescent="0.2">
      <c r="A23" s="334" t="s">
        <v>23</v>
      </c>
      <c r="B23" s="335">
        <f t="shared" si="0"/>
        <v>22</v>
      </c>
      <c r="C23" s="335">
        <v>12</v>
      </c>
      <c r="D23" s="336">
        <v>2021</v>
      </c>
      <c r="E23" s="337">
        <f>'UTILITY REPORT 1'!F24</f>
        <v>3996</v>
      </c>
      <c r="F23" s="338">
        <f>('UTILITY REPORT 1'!E24*'UTILITY REPORT 1'!D24)/'UTILITY REPORT 1'!F24</f>
        <v>0.42388138138138137</v>
      </c>
      <c r="G23" s="338">
        <f>IF('Utility summery'!M27&lt;0,"0",'Utility summery'!M27)</f>
        <v>114.44400000004099</v>
      </c>
      <c r="H23" s="342">
        <v>2.165</v>
      </c>
      <c r="I23" s="338">
        <f>IF('UTILITY REPORT 1'!G24&lt;0,"0",'UTILITY REPORT 1'!G24)</f>
        <v>71</v>
      </c>
      <c r="J23" s="342">
        <v>0</v>
      </c>
      <c r="K23" s="337">
        <f>Submetering!X23</f>
        <v>14</v>
      </c>
      <c r="L23" s="339" t="e">
        <f>E23*F23+G23*H23+#REF!*#REF!+I23*J23</f>
        <v>#REF!</v>
      </c>
    </row>
    <row r="24" spans="1:12" x14ac:dyDescent="0.2">
      <c r="A24" s="334" t="s">
        <v>23</v>
      </c>
      <c r="B24" s="335">
        <f t="shared" si="0"/>
        <v>23</v>
      </c>
      <c r="C24" s="335">
        <v>12</v>
      </c>
      <c r="D24" s="336">
        <v>2021</v>
      </c>
      <c r="E24" s="337">
        <f>'UTILITY REPORT 1'!F25</f>
        <v>4192</v>
      </c>
      <c r="F24" s="338">
        <f>('UTILITY REPORT 1'!E25*'UTILITY REPORT 1'!D25)/'UTILITY REPORT 1'!F25</f>
        <v>0.40096612595419845</v>
      </c>
      <c r="G24" s="338">
        <f>IF('Utility summery'!M28&lt;0,"0",'Utility summery'!M28)</f>
        <v>114.09199999996927</v>
      </c>
      <c r="H24" s="342">
        <v>2.165</v>
      </c>
      <c r="I24" s="338">
        <f>IF('UTILITY REPORT 1'!G25&lt;0,"0",'UTILITY REPORT 1'!G25)</f>
        <v>85</v>
      </c>
      <c r="J24" s="342">
        <v>0</v>
      </c>
      <c r="K24" s="337">
        <f>Submetering!X24</f>
        <v>14</v>
      </c>
      <c r="L24" s="339" t="e">
        <f>E24*F24+G24*H24+#REF!*#REF!+I24*J24</f>
        <v>#REF!</v>
      </c>
    </row>
    <row r="25" spans="1:12" x14ac:dyDescent="0.2">
      <c r="A25" s="334" t="s">
        <v>23</v>
      </c>
      <c r="B25" s="335">
        <f t="shared" si="0"/>
        <v>24</v>
      </c>
      <c r="C25" s="335">
        <v>12</v>
      </c>
      <c r="D25" s="336">
        <v>2021</v>
      </c>
      <c r="E25" s="337">
        <f>'UTILITY REPORT 1'!F26</f>
        <v>4947</v>
      </c>
      <c r="F25" s="338">
        <f>('UTILITY REPORT 1'!E26*'UTILITY REPORT 1'!D26)/'UTILITY REPORT 1'!F26</f>
        <v>0.42705882352941171</v>
      </c>
      <c r="G25" s="338">
        <f>IF('Utility summery'!M29&lt;0,"0",'Utility summery'!M29)</f>
        <v>117.92000000001282</v>
      </c>
      <c r="H25" s="342">
        <v>2.165</v>
      </c>
      <c r="I25" s="338">
        <f>IF('UTILITY REPORT 1'!G26&lt;0,"0",'UTILITY REPORT 1'!G26)</f>
        <v>75</v>
      </c>
      <c r="J25" s="342">
        <v>0</v>
      </c>
      <c r="K25" s="337">
        <f>Submetering!X25</f>
        <v>37</v>
      </c>
      <c r="L25" s="339" t="e">
        <f>E25*F25+G25*H25+#REF!*#REF!+I25*J25</f>
        <v>#REF!</v>
      </c>
    </row>
    <row r="26" spans="1:12" x14ac:dyDescent="0.2">
      <c r="A26" s="334" t="s">
        <v>23</v>
      </c>
      <c r="B26" s="335">
        <f>B25+1</f>
        <v>25</v>
      </c>
      <c r="C26" s="335">
        <v>12</v>
      </c>
      <c r="D26" s="336">
        <v>2021</v>
      </c>
      <c r="E26" s="337">
        <f>'UTILITY REPORT 1'!F27</f>
        <v>4917</v>
      </c>
      <c r="F26" s="338">
        <f>('UTILITY REPORT 1'!E27*'UTILITY REPORT 1'!D27)/'UTILITY REPORT 1'!F27</f>
        <v>0.40786861907667277</v>
      </c>
      <c r="G26" s="338">
        <f>IF('Utility summery'!M30&lt;0,"0",'Utility summery'!M30)</f>
        <v>129.40400000001537</v>
      </c>
      <c r="H26" s="342">
        <v>2.165</v>
      </c>
      <c r="I26" s="338">
        <f>IF('UTILITY REPORT 1'!G27&lt;0,"0",'UTILITY REPORT 1'!G27)</f>
        <v>102</v>
      </c>
      <c r="J26" s="342">
        <v>0</v>
      </c>
      <c r="K26" s="337">
        <f>Submetering!X26</f>
        <v>46</v>
      </c>
      <c r="L26" s="339" t="e">
        <f>E26*F26+G26*H26+#REF!*#REF!+I26*J26</f>
        <v>#REF!</v>
      </c>
    </row>
    <row r="27" spans="1:12" x14ac:dyDescent="0.2">
      <c r="A27" s="334" t="s">
        <v>23</v>
      </c>
      <c r="B27" s="335">
        <f t="shared" si="0"/>
        <v>26</v>
      </c>
      <c r="C27" s="335">
        <v>12</v>
      </c>
      <c r="D27" s="336">
        <v>2021</v>
      </c>
      <c r="E27" s="337">
        <f>'UTILITY REPORT 1'!F28</f>
        <v>4944</v>
      </c>
      <c r="F27" s="338">
        <f>('UTILITY REPORT 1'!E28*'UTILITY REPORT 1'!D28)/'UTILITY REPORT 1'!F28</f>
        <v>0.43874595469255662</v>
      </c>
      <c r="G27" s="338">
        <f>IF('Utility summery'!M31&lt;0,"0",'Utility summery'!M31)</f>
        <v>115.76399999998976</v>
      </c>
      <c r="H27" s="342">
        <v>2.165</v>
      </c>
      <c r="I27" s="338">
        <f>IF('UTILITY REPORT 1'!G28&lt;0,"0",'UTILITY REPORT 1'!G28)</f>
        <v>106</v>
      </c>
      <c r="J27" s="342">
        <v>0</v>
      </c>
      <c r="K27" s="337">
        <f>Submetering!X27</f>
        <v>35</v>
      </c>
      <c r="L27" s="339" t="e">
        <f>E27*F27+G27*H27+#REF!*#REF!+I27*J27</f>
        <v>#REF!</v>
      </c>
    </row>
    <row r="28" spans="1:12" x14ac:dyDescent="0.2">
      <c r="A28" s="334" t="s">
        <v>23</v>
      </c>
      <c r="B28" s="335">
        <f t="shared" si="0"/>
        <v>27</v>
      </c>
      <c r="C28" s="335">
        <v>12</v>
      </c>
      <c r="D28" s="336">
        <v>2021</v>
      </c>
      <c r="E28" s="337">
        <f>'UTILITY REPORT 1'!F29</f>
        <v>5000</v>
      </c>
      <c r="F28" s="338">
        <f>('UTILITY REPORT 1'!E29*'UTILITY REPORT 1'!D29)/'UTILITY REPORT 1'!F29</f>
        <v>0.40575800000000001</v>
      </c>
      <c r="G28" s="338">
        <f>IF('Utility summery'!M32&lt;0,"0",'Utility summery'!M32)</f>
        <v>127.33600000001026</v>
      </c>
      <c r="H28" s="342">
        <v>2.165</v>
      </c>
      <c r="I28" s="338">
        <f>IF('UTILITY REPORT 1'!G29&lt;0,"0",'UTILITY REPORT 1'!G29)</f>
        <v>102</v>
      </c>
      <c r="J28" s="342">
        <v>0</v>
      </c>
      <c r="K28" s="337">
        <f>Submetering!X28</f>
        <v>31</v>
      </c>
      <c r="L28" s="339" t="e">
        <f>E28*F28+G28*H28+#REF!*#REF!+I28*J28</f>
        <v>#REF!</v>
      </c>
    </row>
    <row r="29" spans="1:12" x14ac:dyDescent="0.2">
      <c r="A29" s="334" t="s">
        <v>23</v>
      </c>
      <c r="B29" s="335">
        <f t="shared" si="0"/>
        <v>28</v>
      </c>
      <c r="C29" s="335">
        <v>12</v>
      </c>
      <c r="D29" s="336">
        <v>2021</v>
      </c>
      <c r="E29" s="337">
        <f>'UTILITY REPORT 1'!F30</f>
        <v>4676</v>
      </c>
      <c r="F29" s="338">
        <f>('UTILITY REPORT 1'!E30*'UTILITY REPORT 1'!D30)/'UTILITY REPORT 1'!F30</f>
        <v>0.43917664670658685</v>
      </c>
      <c r="G29" s="338">
        <f>IF('Utility summery'!M33&lt;0,"0",'Utility summery'!M33)</f>
        <v>126.71999999994878</v>
      </c>
      <c r="H29" s="342">
        <v>2.165</v>
      </c>
      <c r="I29" s="338">
        <f>IF('UTILITY REPORT 1'!G30&lt;0,"0",'UTILITY REPORT 1'!G30)</f>
        <v>109</v>
      </c>
      <c r="J29" s="342">
        <v>0</v>
      </c>
      <c r="K29" s="337">
        <f>Submetering!X29</f>
        <v>34</v>
      </c>
      <c r="L29" s="339" t="e">
        <f>E29*F29+G29*H29+#REF!*#REF!+I29*J29</f>
        <v>#REF!</v>
      </c>
    </row>
    <row r="30" spans="1:12" x14ac:dyDescent="0.2">
      <c r="A30" s="334" t="s">
        <v>23</v>
      </c>
      <c r="B30" s="335">
        <f t="shared" si="0"/>
        <v>29</v>
      </c>
      <c r="C30" s="335">
        <v>12</v>
      </c>
      <c r="D30" s="336">
        <v>2021</v>
      </c>
      <c r="E30" s="337">
        <f>'UTILITY REPORT 1'!F31</f>
        <v>4892</v>
      </c>
      <c r="F30" s="338">
        <f>('UTILITY REPORT 1'!E31*'UTILITY REPORT 1'!D31)/'UTILITY REPORT 1'!F31</f>
        <v>0.4169971381847915</v>
      </c>
      <c r="G30" s="338">
        <f>IF('Utility summery'!M34&lt;0,"0",'Utility summery'!M34)</f>
        <v>135.38800000001794</v>
      </c>
      <c r="H30" s="342">
        <v>2.165</v>
      </c>
      <c r="I30" s="338">
        <f>IF('UTILITY REPORT 1'!G31&lt;0,"0",'UTILITY REPORT 1'!G31)</f>
        <v>111</v>
      </c>
      <c r="J30" s="342">
        <v>0</v>
      </c>
      <c r="K30" s="337">
        <f>Submetering!X30</f>
        <v>42</v>
      </c>
      <c r="L30" s="339" t="e">
        <f>E30*F30+G30*H30+#REF!*#REF!+I30*J30</f>
        <v>#REF!</v>
      </c>
    </row>
    <row r="31" spans="1:12" x14ac:dyDescent="0.2">
      <c r="A31" s="334" t="s">
        <v>23</v>
      </c>
      <c r="B31" s="335">
        <v>30</v>
      </c>
      <c r="C31" s="335">
        <v>12</v>
      </c>
      <c r="D31" s="336">
        <v>2021</v>
      </c>
      <c r="E31" s="337">
        <f>'UTILITY REPORT 1'!F32</f>
        <v>4766</v>
      </c>
      <c r="F31" s="338">
        <f>('UTILITY REPORT 1'!E32*'UTILITY REPORT 1'!D32)/'UTILITY REPORT 1'!F32</f>
        <v>0.42798363407469575</v>
      </c>
      <c r="G31" s="338">
        <f>IF('Utility summery'!M35&lt;0,"0",'Utility summery'!M35)</f>
        <v>157.30000000000001</v>
      </c>
      <c r="H31" s="342">
        <v>2.165</v>
      </c>
      <c r="I31" s="338">
        <f>IF('UTILITY REPORT 1'!G32&lt;0,"0",'UTILITY REPORT 1'!G32)</f>
        <v>102</v>
      </c>
      <c r="J31" s="342">
        <v>0</v>
      </c>
      <c r="K31" s="337">
        <f>Submetering!X31</f>
        <v>48</v>
      </c>
      <c r="L31" s="339" t="e">
        <f>E31*F31+G31*H31+#REF!*#REF!+I31*J31</f>
        <v>#REF!</v>
      </c>
    </row>
    <row r="32" spans="1:12" x14ac:dyDescent="0.2">
      <c r="A32" s="334" t="s">
        <v>23</v>
      </c>
      <c r="B32" s="335">
        <v>31</v>
      </c>
      <c r="C32" s="335">
        <v>12</v>
      </c>
      <c r="D32" s="336">
        <v>2021</v>
      </c>
      <c r="E32" s="337">
        <f>'UTILITY REPORT 1'!F33</f>
        <v>4562</v>
      </c>
      <c r="F32" s="338">
        <f>('UTILITY REPORT 1'!E33*'UTILITY REPORT 1'!D33)/'UTILITY REPORT 1'!F33</f>
        <v>0.41520824199912321</v>
      </c>
      <c r="G32" s="338">
        <f>IF('Utility summery'!M36&lt;0,"0",'Utility summery'!M36)</f>
        <v>163.02000000001283</v>
      </c>
      <c r="H32" s="342">
        <v>2.165</v>
      </c>
      <c r="I32" s="338">
        <f>IF('UTILITY REPORT 1'!G33&lt;0,"0",'UTILITY REPORT 1'!G33)</f>
        <v>102</v>
      </c>
      <c r="J32" s="342">
        <v>0</v>
      </c>
      <c r="K32" s="337">
        <f>Submetering!X32</f>
        <v>48</v>
      </c>
    </row>
    <row r="33" spans="6:10" x14ac:dyDescent="0.2">
      <c r="F33" s="338"/>
      <c r="G33" s="338"/>
      <c r="H33" s="342"/>
      <c r="I33" s="338" t="s">
        <v>30</v>
      </c>
      <c r="J33" s="342"/>
    </row>
    <row r="34" spans="6:10" x14ac:dyDescent="0.2">
      <c r="F34" s="338"/>
      <c r="G34" s="338"/>
      <c r="H34" s="342"/>
      <c r="I34" s="338"/>
      <c r="J34" s="342"/>
    </row>
    <row r="35" spans="6:10" x14ac:dyDescent="0.2">
      <c r="F35" s="338"/>
      <c r="G35" s="338"/>
      <c r="H35" s="342"/>
      <c r="I35" s="338"/>
      <c r="J35" s="342"/>
    </row>
    <row r="36" spans="6:10" x14ac:dyDescent="0.2">
      <c r="F36" s="338"/>
      <c r="G36" s="338"/>
      <c r="H36" s="342"/>
      <c r="I36" s="338"/>
      <c r="J36" s="342"/>
    </row>
    <row r="37" spans="6:10" x14ac:dyDescent="0.2">
      <c r="F37" s="338"/>
      <c r="G37" s="338"/>
      <c r="H37" s="342"/>
      <c r="I37" s="338"/>
      <c r="J37" s="342"/>
    </row>
    <row r="38" spans="6:10" x14ac:dyDescent="0.2">
      <c r="F38" s="338"/>
      <c r="G38" s="338"/>
      <c r="H38" s="342"/>
      <c r="I38" s="338"/>
      <c r="J38" s="342"/>
    </row>
    <row r="39" spans="6:10" x14ac:dyDescent="0.2">
      <c r="F39" s="338"/>
      <c r="G39" s="338"/>
      <c r="H39" s="342"/>
      <c r="I39" s="338"/>
      <c r="J39" s="34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5"/>
  <sheetViews>
    <sheetView topLeftCell="B1" workbookViewId="0">
      <selection activeCell="K13" sqref="K13"/>
    </sheetView>
  </sheetViews>
  <sheetFormatPr defaultRowHeight="12.75" x14ac:dyDescent="0.2"/>
  <cols>
    <col min="1" max="1" width="9.7109375" bestFit="1" customWidth="1"/>
    <col min="2" max="2" width="10.28515625" style="11" bestFit="1" customWidth="1"/>
    <col min="3" max="6" width="15.7109375" customWidth="1"/>
  </cols>
  <sheetData>
    <row r="1" spans="1:6" s="14" customFormat="1" ht="20.25" customHeight="1" x14ac:dyDescent="0.2">
      <c r="A1" s="10" t="s">
        <v>31</v>
      </c>
      <c r="B1" s="13" t="s">
        <v>32</v>
      </c>
      <c r="C1" s="10" t="s">
        <v>33</v>
      </c>
      <c r="D1" s="10" t="s">
        <v>34</v>
      </c>
      <c r="E1" s="10" t="s">
        <v>35</v>
      </c>
    </row>
    <row r="2" spans="1:6" x14ac:dyDescent="0.2">
      <c r="A2" s="76">
        <f>Gen!B11</f>
        <v>44531</v>
      </c>
      <c r="B2" s="12">
        <f>'Summery Report'!F5</f>
        <v>3130</v>
      </c>
      <c r="C2" s="100">
        <f>'Summery Report'!C5</f>
        <v>5.1900000000000002E-2</v>
      </c>
      <c r="D2" s="692">
        <f>E2</f>
        <v>6</v>
      </c>
      <c r="E2" s="692">
        <f>Total!K2</f>
        <v>6</v>
      </c>
      <c r="F2" s="18"/>
    </row>
    <row r="3" spans="1:6" x14ac:dyDescent="0.2">
      <c r="A3" s="76">
        <f>Gen!B12</f>
        <v>44532</v>
      </c>
      <c r="B3" s="12">
        <f>'Summery Report'!F6</f>
        <v>3105</v>
      </c>
      <c r="C3" s="100">
        <f>'Summery Report'!C6</f>
        <v>0.05</v>
      </c>
      <c r="D3" s="692">
        <f t="shared" ref="D3:D32" si="0">E3</f>
        <v>5</v>
      </c>
      <c r="E3" s="692">
        <f>Total!K3</f>
        <v>5</v>
      </c>
      <c r="F3" s="18"/>
    </row>
    <row r="4" spans="1:6" x14ac:dyDescent="0.2">
      <c r="A4" s="76">
        <f>Gen!B13</f>
        <v>44533</v>
      </c>
      <c r="B4" s="12">
        <f>'Summery Report'!F7</f>
        <v>2910</v>
      </c>
      <c r="C4" s="100">
        <f>'Summery Report'!C7</f>
        <v>0.05</v>
      </c>
      <c r="D4" s="692">
        <f t="shared" si="0"/>
        <v>3</v>
      </c>
      <c r="E4" s="692">
        <f>Total!K4</f>
        <v>3</v>
      </c>
      <c r="F4" s="18"/>
    </row>
    <row r="5" spans="1:6" x14ac:dyDescent="0.2">
      <c r="A5" s="76">
        <f>Gen!B14</f>
        <v>44534</v>
      </c>
      <c r="B5" s="12">
        <f>'Summery Report'!F8</f>
        <v>3289</v>
      </c>
      <c r="C5" s="100">
        <f>'Summery Report'!C8</f>
        <v>0.08</v>
      </c>
      <c r="D5" s="692">
        <f t="shared" si="0"/>
        <v>8</v>
      </c>
      <c r="E5" s="692">
        <f>Total!K5</f>
        <v>8</v>
      </c>
      <c r="F5" s="18"/>
    </row>
    <row r="6" spans="1:6" x14ac:dyDescent="0.2">
      <c r="A6" s="76">
        <f>Gen!B15</f>
        <v>44535</v>
      </c>
      <c r="B6" s="12">
        <f>'Summery Report'!F9</f>
        <v>3146</v>
      </c>
      <c r="C6" s="100">
        <f>'Summery Report'!C9</f>
        <v>0.05</v>
      </c>
      <c r="D6" s="692">
        <f t="shared" si="0"/>
        <v>6</v>
      </c>
      <c r="E6" s="692">
        <f>Total!K6</f>
        <v>6</v>
      </c>
      <c r="F6" s="18"/>
    </row>
    <row r="7" spans="1:6" x14ac:dyDescent="0.2">
      <c r="A7" s="76">
        <f>Gen!B16</f>
        <v>44536</v>
      </c>
      <c r="B7" s="12">
        <f>'Summery Report'!F10</f>
        <v>3361</v>
      </c>
      <c r="C7" s="100">
        <f>'Summery Report'!C10</f>
        <v>7.7899999999999997E-2</v>
      </c>
      <c r="D7" s="692">
        <f t="shared" si="0"/>
        <v>9</v>
      </c>
      <c r="E7" s="692">
        <f>Total!K7</f>
        <v>9</v>
      </c>
      <c r="F7" s="18"/>
    </row>
    <row r="8" spans="1:6" x14ac:dyDescent="0.2">
      <c r="A8" s="76">
        <f>Gen!B17</f>
        <v>44537</v>
      </c>
      <c r="B8" s="12">
        <f>'Summery Report'!F11</f>
        <v>3380</v>
      </c>
      <c r="C8" s="100">
        <f>'Summery Report'!C11</f>
        <v>7.7899999999999997E-2</v>
      </c>
      <c r="D8" s="692">
        <f t="shared" si="0"/>
        <v>9</v>
      </c>
      <c r="E8" s="692">
        <f>Total!K8</f>
        <v>9</v>
      </c>
      <c r="F8" s="18"/>
    </row>
    <row r="9" spans="1:6" x14ac:dyDescent="0.2">
      <c r="A9" s="76">
        <f>Gen!B18</f>
        <v>44538</v>
      </c>
      <c r="B9" s="12">
        <f>'Summery Report'!F12</f>
        <v>3662</v>
      </c>
      <c r="C9" s="100">
        <f>'Summery Report'!C12</f>
        <v>0.12</v>
      </c>
      <c r="D9" s="692">
        <f t="shared" si="0"/>
        <v>12</v>
      </c>
      <c r="E9" s="692">
        <f>Total!K9</f>
        <v>12</v>
      </c>
      <c r="F9" s="18"/>
    </row>
    <row r="10" spans="1:6" x14ac:dyDescent="0.2">
      <c r="A10" s="76">
        <f>Gen!B19</f>
        <v>44539</v>
      </c>
      <c r="B10" s="12">
        <f>'Summery Report'!F13</f>
        <v>3399</v>
      </c>
      <c r="C10" s="100">
        <f>'Summery Report'!C13</f>
        <v>0.09</v>
      </c>
      <c r="D10" s="692">
        <f t="shared" si="0"/>
        <v>10</v>
      </c>
      <c r="E10" s="692">
        <f>Total!K10</f>
        <v>10</v>
      </c>
      <c r="F10" s="18"/>
    </row>
    <row r="11" spans="1:6" x14ac:dyDescent="0.2">
      <c r="A11" s="76">
        <f>Gen!B20</f>
        <v>44540</v>
      </c>
      <c r="B11" s="12">
        <f>'Summery Report'!F14</f>
        <v>3440</v>
      </c>
      <c r="C11" s="100">
        <f>'Summery Report'!C14</f>
        <v>0.12</v>
      </c>
      <c r="D11" s="692">
        <f t="shared" si="0"/>
        <v>12</v>
      </c>
      <c r="E11" s="692">
        <f>Total!K11</f>
        <v>12</v>
      </c>
      <c r="F11" s="18"/>
    </row>
    <row r="12" spans="1:6" x14ac:dyDescent="0.2">
      <c r="A12" s="76">
        <f>Gen!B21</f>
        <v>44541</v>
      </c>
      <c r="B12" s="12">
        <f>'Summery Report'!F15</f>
        <v>3696</v>
      </c>
      <c r="C12" s="100">
        <f>'Summery Report'!C15</f>
        <v>0.12</v>
      </c>
      <c r="D12" s="692">
        <f t="shared" si="0"/>
        <v>12</v>
      </c>
      <c r="E12" s="692">
        <f>Total!K12</f>
        <v>12</v>
      </c>
      <c r="F12" s="18"/>
    </row>
    <row r="13" spans="1:6" x14ac:dyDescent="0.2">
      <c r="A13" s="76">
        <f>Gen!B22</f>
        <v>44542</v>
      </c>
      <c r="B13" s="12">
        <f>'Summery Report'!F16</f>
        <v>3646</v>
      </c>
      <c r="C13" s="100">
        <f>'Summery Report'!C16</f>
        <v>0.12</v>
      </c>
      <c r="D13" s="692">
        <f t="shared" si="0"/>
        <v>12</v>
      </c>
      <c r="E13" s="692">
        <f>Total!K13</f>
        <v>12</v>
      </c>
      <c r="F13" s="18"/>
    </row>
    <row r="14" spans="1:6" x14ac:dyDescent="0.2">
      <c r="A14" s="76">
        <f>Gen!B23</f>
        <v>44543</v>
      </c>
      <c r="B14" s="12">
        <f>'Summery Report'!F17</f>
        <v>3967</v>
      </c>
      <c r="C14" s="100">
        <f>'Summery Report'!C17</f>
        <v>0.16</v>
      </c>
      <c r="D14" s="692">
        <f t="shared" si="0"/>
        <v>15</v>
      </c>
      <c r="E14" s="692">
        <f>Total!K14</f>
        <v>15</v>
      </c>
      <c r="F14" s="18"/>
    </row>
    <row r="15" spans="1:6" x14ac:dyDescent="0.2">
      <c r="A15" s="76">
        <f>Gen!B24</f>
        <v>44544</v>
      </c>
      <c r="B15" s="12">
        <f>'Summery Report'!F18</f>
        <v>3411</v>
      </c>
      <c r="C15" s="100">
        <f>'Summery Report'!C18</f>
        <v>0.17</v>
      </c>
      <c r="D15" s="692">
        <f t="shared" si="0"/>
        <v>16</v>
      </c>
      <c r="E15" s="692">
        <f>Total!K15</f>
        <v>16</v>
      </c>
      <c r="F15" s="18"/>
    </row>
    <row r="16" spans="1:6" x14ac:dyDescent="0.2">
      <c r="A16" s="76">
        <f>Gen!B25</f>
        <v>44545</v>
      </c>
      <c r="B16" s="12">
        <f>'Summery Report'!F19</f>
        <v>3878</v>
      </c>
      <c r="C16" s="100">
        <f>'Summery Report'!C19</f>
        <v>0.18</v>
      </c>
      <c r="D16" s="692">
        <f t="shared" si="0"/>
        <v>17</v>
      </c>
      <c r="E16" s="692">
        <f>Total!K16</f>
        <v>17</v>
      </c>
      <c r="F16" s="18"/>
    </row>
    <row r="17" spans="1:6" x14ac:dyDescent="0.2">
      <c r="A17" s="76">
        <f>Gen!B26</f>
        <v>44546</v>
      </c>
      <c r="B17" s="12">
        <f>'Summery Report'!F20</f>
        <v>3906</v>
      </c>
      <c r="C17" s="100">
        <f>'Summery Report'!C20</f>
        <v>0.16</v>
      </c>
      <c r="D17" s="692">
        <f t="shared" si="0"/>
        <v>15</v>
      </c>
      <c r="E17" s="692">
        <f>Total!K17</f>
        <v>15</v>
      </c>
      <c r="F17" s="18"/>
    </row>
    <row r="18" spans="1:6" x14ac:dyDescent="0.2">
      <c r="A18" s="76">
        <f>Gen!B27</f>
        <v>44547</v>
      </c>
      <c r="B18" s="12">
        <f>'Summery Report'!F21</f>
        <v>3764</v>
      </c>
      <c r="C18" s="100">
        <f>'Summery Report'!C21</f>
        <v>0.16</v>
      </c>
      <c r="D18" s="692">
        <f t="shared" si="0"/>
        <v>15</v>
      </c>
      <c r="E18" s="692">
        <f>Total!K18</f>
        <v>15</v>
      </c>
      <c r="F18" s="18"/>
    </row>
    <row r="19" spans="1:6" x14ac:dyDescent="0.2">
      <c r="A19" s="76">
        <f>Gen!B28</f>
        <v>44548</v>
      </c>
      <c r="B19" s="12">
        <f>'Summery Report'!F22</f>
        <v>3882</v>
      </c>
      <c r="C19" s="100">
        <f>'Summery Report'!C22</f>
        <v>0.13</v>
      </c>
      <c r="D19" s="692">
        <f t="shared" si="0"/>
        <v>13</v>
      </c>
      <c r="E19" s="692">
        <f>Total!K19</f>
        <v>13</v>
      </c>
      <c r="F19" s="18"/>
    </row>
    <row r="20" spans="1:6" x14ac:dyDescent="0.2">
      <c r="A20" s="76">
        <f>Gen!B29</f>
        <v>44549</v>
      </c>
      <c r="B20" s="12">
        <f>'Summery Report'!F23</f>
        <v>3745</v>
      </c>
      <c r="C20" s="100">
        <f>'Summery Report'!C23</f>
        <v>0.12</v>
      </c>
      <c r="D20" s="692">
        <f t="shared" si="0"/>
        <v>10</v>
      </c>
      <c r="E20" s="692">
        <f>Total!K20</f>
        <v>10</v>
      </c>
      <c r="F20" s="18"/>
    </row>
    <row r="21" spans="1:6" x14ac:dyDescent="0.2">
      <c r="A21" s="76">
        <f>Gen!B30</f>
        <v>44550</v>
      </c>
      <c r="B21" s="12">
        <f>'Summery Report'!F24</f>
        <v>3257</v>
      </c>
      <c r="C21" s="100">
        <f>'Summery Report'!C24</f>
        <v>0.06</v>
      </c>
      <c r="D21" s="692">
        <f t="shared" si="0"/>
        <v>6</v>
      </c>
      <c r="E21" s="692">
        <f>Total!K21</f>
        <v>6</v>
      </c>
      <c r="F21" s="18"/>
    </row>
    <row r="22" spans="1:6" x14ac:dyDescent="0.2">
      <c r="A22" s="76">
        <f>Gen!B31</f>
        <v>44551</v>
      </c>
      <c r="B22" s="12">
        <f>'Summery Report'!F25</f>
        <v>4495</v>
      </c>
      <c r="C22" s="100">
        <f>'Summery Report'!C25</f>
        <v>0.1</v>
      </c>
      <c r="D22" s="692">
        <f t="shared" si="0"/>
        <v>9</v>
      </c>
      <c r="E22" s="692">
        <f>Total!K22</f>
        <v>9</v>
      </c>
      <c r="F22" s="18"/>
    </row>
    <row r="23" spans="1:6" x14ac:dyDescent="0.2">
      <c r="A23" s="76">
        <f>Gen!B32</f>
        <v>44552</v>
      </c>
      <c r="B23" s="12">
        <f>'Summery Report'!F26</f>
        <v>3996</v>
      </c>
      <c r="C23" s="100">
        <f>'Summery Report'!C26</f>
        <v>0.17</v>
      </c>
      <c r="D23" s="692">
        <f t="shared" si="0"/>
        <v>14</v>
      </c>
      <c r="E23" s="692">
        <f>Total!K23</f>
        <v>14</v>
      </c>
      <c r="F23" s="18"/>
    </row>
    <row r="24" spans="1:6" x14ac:dyDescent="0.2">
      <c r="A24" s="76">
        <f>Gen!B33</f>
        <v>44553</v>
      </c>
      <c r="B24" s="12">
        <f>'Summery Report'!F27</f>
        <v>4192</v>
      </c>
      <c r="C24" s="100">
        <f>'Summery Report'!C27</f>
        <v>0.17</v>
      </c>
      <c r="D24" s="692">
        <f t="shared" si="0"/>
        <v>14</v>
      </c>
      <c r="E24" s="692">
        <f>Total!K24</f>
        <v>14</v>
      </c>
      <c r="F24" s="18"/>
    </row>
    <row r="25" spans="1:6" x14ac:dyDescent="0.2">
      <c r="A25" s="76">
        <f>Gen!B34</f>
        <v>44554</v>
      </c>
      <c r="B25" s="12">
        <f>'Summery Report'!F28</f>
        <v>4947</v>
      </c>
      <c r="C25" s="100">
        <f>'Summery Report'!C28</f>
        <v>0.47</v>
      </c>
      <c r="D25" s="692">
        <f t="shared" si="0"/>
        <v>37</v>
      </c>
      <c r="E25" s="692">
        <f>Total!K25</f>
        <v>37</v>
      </c>
      <c r="F25" s="18"/>
    </row>
    <row r="26" spans="1:6" x14ac:dyDescent="0.2">
      <c r="A26" s="76">
        <f>Gen!B35</f>
        <v>44555</v>
      </c>
      <c r="B26" s="12">
        <f>'Summery Report'!F29</f>
        <v>4917</v>
      </c>
      <c r="C26" s="100">
        <f>'Summery Report'!C29</f>
        <v>0.57999999999999996</v>
      </c>
      <c r="D26" s="692">
        <f t="shared" si="0"/>
        <v>46</v>
      </c>
      <c r="E26" s="692">
        <f>Total!K26</f>
        <v>46</v>
      </c>
      <c r="F26" s="18"/>
    </row>
    <row r="27" spans="1:6" x14ac:dyDescent="0.2">
      <c r="A27" s="76">
        <f>Gen!B36</f>
        <v>44556</v>
      </c>
      <c r="B27" s="12">
        <f>'Summery Report'!F30</f>
        <v>4944</v>
      </c>
      <c r="C27" s="100">
        <f>'Summery Report'!C30</f>
        <v>0.43</v>
      </c>
      <c r="D27" s="692">
        <f t="shared" si="0"/>
        <v>35</v>
      </c>
      <c r="E27" s="692">
        <f>Total!K27</f>
        <v>35</v>
      </c>
      <c r="F27" s="18"/>
    </row>
    <row r="28" spans="1:6" x14ac:dyDescent="0.2">
      <c r="A28" s="76">
        <f>Gen!B37</f>
        <v>44557</v>
      </c>
      <c r="B28" s="12">
        <f>'Summery Report'!F31</f>
        <v>5000</v>
      </c>
      <c r="C28" s="100">
        <f>'Summery Report'!C31</f>
        <v>0.39</v>
      </c>
      <c r="D28" s="692">
        <f t="shared" si="0"/>
        <v>31</v>
      </c>
      <c r="E28" s="692">
        <f>Total!K28</f>
        <v>31</v>
      </c>
      <c r="F28" s="18"/>
    </row>
    <row r="29" spans="1:6" x14ac:dyDescent="0.2">
      <c r="A29" s="76">
        <f>Gen!B38</f>
        <v>44558</v>
      </c>
      <c r="B29" s="12">
        <f>'Summery Report'!F32</f>
        <v>4676</v>
      </c>
      <c r="C29" s="100">
        <f>'Summery Report'!C32</f>
        <v>0.43</v>
      </c>
      <c r="D29" s="692">
        <f t="shared" si="0"/>
        <v>34</v>
      </c>
      <c r="E29" s="692">
        <f>Total!K29</f>
        <v>34</v>
      </c>
      <c r="F29" s="18"/>
    </row>
    <row r="30" spans="1:6" x14ac:dyDescent="0.2">
      <c r="A30" s="76">
        <f>Gen!B39</f>
        <v>44559</v>
      </c>
      <c r="B30" s="12">
        <f>'Summery Report'!F33</f>
        <v>4892</v>
      </c>
      <c r="C30" s="100">
        <f>'Summery Report'!C33</f>
        <v>0.53</v>
      </c>
      <c r="D30" s="692">
        <f t="shared" si="0"/>
        <v>42</v>
      </c>
      <c r="E30" s="692">
        <f>Total!K30</f>
        <v>42</v>
      </c>
      <c r="F30" s="18"/>
    </row>
    <row r="31" spans="1:6" x14ac:dyDescent="0.2">
      <c r="A31" s="76">
        <f>Gen!B40</f>
        <v>44560</v>
      </c>
      <c r="B31" s="12">
        <f>'Summery Report'!F34</f>
        <v>4766</v>
      </c>
      <c r="C31" s="100">
        <f>'Summery Report'!C34</f>
        <v>0.61</v>
      </c>
      <c r="D31" s="692">
        <f t="shared" si="0"/>
        <v>48</v>
      </c>
      <c r="E31" s="692">
        <f>Total!K31</f>
        <v>48</v>
      </c>
      <c r="F31" s="18"/>
    </row>
    <row r="32" spans="1:6" x14ac:dyDescent="0.2">
      <c r="A32" s="76">
        <f>Gen!B41</f>
        <v>44561</v>
      </c>
      <c r="B32" s="12">
        <f>'Summery Report'!F35</f>
        <v>4562</v>
      </c>
      <c r="C32" s="100">
        <f>'Summery Report'!C35</f>
        <v>0.61</v>
      </c>
      <c r="D32" s="692">
        <f t="shared" si="0"/>
        <v>48</v>
      </c>
      <c r="E32" s="692">
        <f>Total!K32</f>
        <v>48</v>
      </c>
      <c r="F32" s="18">
        <v>0.17499999999999999</v>
      </c>
    </row>
    <row r="33" spans="1:2" x14ac:dyDescent="0.2">
      <c r="A33" s="76">
        <f>Gen!B42</f>
        <v>0</v>
      </c>
      <c r="B33" s="12">
        <v>0</v>
      </c>
    </row>
    <row r="34" spans="1:2" x14ac:dyDescent="0.2">
      <c r="A34" s="9"/>
      <c r="B34" s="12"/>
    </row>
    <row r="35" spans="1:2" x14ac:dyDescent="0.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activeCell="O16" sqref="O16"/>
    </sheetView>
  </sheetViews>
  <sheetFormatPr defaultRowHeight="12.75" x14ac:dyDescent="0.2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 x14ac:dyDescent="0.4">
      <c r="A1" s="909" t="s">
        <v>36</v>
      </c>
      <c r="B1" s="909"/>
      <c r="C1" s="909"/>
      <c r="D1" s="909"/>
      <c r="E1" s="909"/>
      <c r="F1" s="909"/>
      <c r="G1" s="909"/>
      <c r="H1" s="909"/>
    </row>
    <row r="2" spans="1:9" ht="48" customHeight="1" thickBot="1" x14ac:dyDescent="0.25">
      <c r="A2" s="206" t="s">
        <v>31</v>
      </c>
      <c r="B2" s="112" t="s">
        <v>37</v>
      </c>
      <c r="C2" s="323" t="s">
        <v>38</v>
      </c>
      <c r="D2" s="235" t="s">
        <v>39</v>
      </c>
      <c r="E2" s="321" t="s">
        <v>40</v>
      </c>
      <c r="F2" s="235" t="s">
        <v>41</v>
      </c>
      <c r="G2" s="235" t="s">
        <v>42</v>
      </c>
      <c r="H2" s="323" t="s">
        <v>10</v>
      </c>
      <c r="I2" s="235" t="s">
        <v>43</v>
      </c>
    </row>
    <row r="3" spans="1:9" ht="13.5" x14ac:dyDescent="0.25">
      <c r="A3" s="322">
        <f>Gen!B11</f>
        <v>44531</v>
      </c>
      <c r="B3" s="324">
        <v>5.1900000000000002E-2</v>
      </c>
      <c r="C3" s="337">
        <v>6</v>
      </c>
      <c r="D3" s="326">
        <v>1</v>
      </c>
      <c r="E3" s="325">
        <f>Gen!T11</f>
        <v>1340.69</v>
      </c>
      <c r="F3" s="325">
        <f>Gen!U11</f>
        <v>3130</v>
      </c>
      <c r="G3" s="325">
        <f>'Water-Meter'!E6</f>
        <v>79</v>
      </c>
      <c r="H3" s="325">
        <f>'Utility report '!AC6</f>
        <v>35</v>
      </c>
      <c r="I3" s="325">
        <f>Gen!AK11</f>
        <v>55.309999999999995</v>
      </c>
    </row>
    <row r="4" spans="1:9" ht="13.5" x14ac:dyDescent="0.25">
      <c r="A4" s="322">
        <f>Gen!B12</f>
        <v>44532</v>
      </c>
      <c r="B4" s="324">
        <v>0.05</v>
      </c>
      <c r="C4" s="337">
        <v>5</v>
      </c>
      <c r="D4" s="326">
        <v>1</v>
      </c>
      <c r="E4" s="325">
        <f>Gen!T12</f>
        <v>1268.81</v>
      </c>
      <c r="F4" s="325">
        <f>Gen!U12</f>
        <v>3105</v>
      </c>
      <c r="G4" s="325">
        <f>'Water-Meter'!E7</f>
        <v>67</v>
      </c>
      <c r="H4" s="325">
        <f>'Utility report '!AC7</f>
        <v>61</v>
      </c>
      <c r="I4" s="325">
        <f>Gen!AK12</f>
        <v>596.04</v>
      </c>
    </row>
    <row r="5" spans="1:9" ht="13.5" x14ac:dyDescent="0.25">
      <c r="A5" s="322">
        <f>Gen!B13</f>
        <v>44533</v>
      </c>
      <c r="B5" s="324">
        <f>Gen!C13</f>
        <v>0.05</v>
      </c>
      <c r="C5" s="337">
        <v>3</v>
      </c>
      <c r="D5" s="326">
        <v>1</v>
      </c>
      <c r="E5" s="325">
        <f>Gen!T13</f>
        <v>1177.17</v>
      </c>
      <c r="F5" s="325">
        <f>Gen!U13</f>
        <v>2910</v>
      </c>
      <c r="G5" s="325">
        <f>'Water-Meter'!E8</f>
        <v>83</v>
      </c>
      <c r="H5" s="325">
        <f>'Utility report '!AC8</f>
        <v>50</v>
      </c>
      <c r="I5" s="325">
        <f>Gen!AK13</f>
        <v>0</v>
      </c>
    </row>
    <row r="6" spans="1:9" ht="13.5" x14ac:dyDescent="0.25">
      <c r="A6" s="322">
        <f>Gen!B14</f>
        <v>44534</v>
      </c>
      <c r="B6" s="324">
        <v>0.08</v>
      </c>
      <c r="C6" s="337">
        <v>8</v>
      </c>
      <c r="D6" s="326">
        <v>1</v>
      </c>
      <c r="E6" s="325">
        <f>Gen!T14</f>
        <v>1293.22</v>
      </c>
      <c r="F6" s="325">
        <f>Gen!U14</f>
        <v>3289</v>
      </c>
      <c r="G6" s="325">
        <f>'Water-Meter'!E9</f>
        <v>67</v>
      </c>
      <c r="H6" s="325">
        <f>'Utility report '!AC9</f>
        <v>89</v>
      </c>
      <c r="I6" s="325">
        <f>Gen!AK14</f>
        <v>199.51</v>
      </c>
    </row>
    <row r="7" spans="1:9" ht="13.5" x14ac:dyDescent="0.25">
      <c r="A7" s="322">
        <f>Gen!B15</f>
        <v>44535</v>
      </c>
      <c r="B7" s="324">
        <v>0.05</v>
      </c>
      <c r="C7" s="337">
        <v>6</v>
      </c>
      <c r="D7" s="326">
        <v>1</v>
      </c>
      <c r="E7" s="325">
        <f>Gen!T15</f>
        <v>1246.93</v>
      </c>
      <c r="F7" s="325">
        <f>Gen!U15</f>
        <v>3146</v>
      </c>
      <c r="G7" s="325">
        <f>'Water-Meter'!E10</f>
        <v>62</v>
      </c>
      <c r="H7" s="325">
        <f>'Utility report '!AC10</f>
        <v>103</v>
      </c>
      <c r="I7" s="325">
        <f>Gen!AK15</f>
        <v>53.33</v>
      </c>
    </row>
    <row r="8" spans="1:9" ht="13.5" x14ac:dyDescent="0.25">
      <c r="A8" s="322">
        <f>Gen!B16</f>
        <v>44536</v>
      </c>
      <c r="B8" s="324">
        <v>7.7899999999999997E-2</v>
      </c>
      <c r="C8" s="337">
        <v>9</v>
      </c>
      <c r="D8" s="326">
        <v>1</v>
      </c>
      <c r="E8" s="325">
        <f>Gen!T16</f>
        <v>1325.89</v>
      </c>
      <c r="F8" s="325">
        <f>Gen!U16</f>
        <v>3361</v>
      </c>
      <c r="G8" s="325">
        <f>'Water-Meter'!E11</f>
        <v>57</v>
      </c>
      <c r="H8" s="325">
        <f>'Utility report '!AC11</f>
        <v>17</v>
      </c>
      <c r="I8" s="325">
        <f>Gen!AK16</f>
        <v>67.400000000000006</v>
      </c>
    </row>
    <row r="9" spans="1:9" ht="13.5" x14ac:dyDescent="0.25">
      <c r="A9" s="322">
        <f>Gen!B17</f>
        <v>44537</v>
      </c>
      <c r="B9" s="324">
        <v>7.7899999999999997E-2</v>
      </c>
      <c r="C9" s="337">
        <v>9</v>
      </c>
      <c r="D9" s="326">
        <v>1</v>
      </c>
      <c r="E9" s="325">
        <f>Gen!T17</f>
        <v>1368.94</v>
      </c>
      <c r="F9" s="325">
        <f>Gen!U17</f>
        <v>3380</v>
      </c>
      <c r="G9" s="325">
        <f>'Water-Meter'!E12</f>
        <v>73</v>
      </c>
      <c r="H9" s="325">
        <f>'Utility report '!AC12</f>
        <v>121</v>
      </c>
      <c r="I9" s="325">
        <f>Gen!AK17</f>
        <v>135.94</v>
      </c>
    </row>
    <row r="10" spans="1:9" ht="13.5" x14ac:dyDescent="0.25">
      <c r="A10" s="322">
        <f>Gen!B18</f>
        <v>44538</v>
      </c>
      <c r="B10" s="324">
        <v>0.12</v>
      </c>
      <c r="C10" s="337">
        <v>12</v>
      </c>
      <c r="D10" s="326">
        <v>1</v>
      </c>
      <c r="E10" s="325">
        <f>Gen!T18</f>
        <v>1527.6</v>
      </c>
      <c r="F10" s="325">
        <f>Gen!U18</f>
        <v>3662</v>
      </c>
      <c r="G10" s="325">
        <f>'Water-Meter'!E13</f>
        <v>80</v>
      </c>
      <c r="H10" s="325">
        <f>'Utility report '!AC13</f>
        <v>170</v>
      </c>
      <c r="I10" s="325">
        <f>Gen!AK18</f>
        <v>83.59</v>
      </c>
    </row>
    <row r="11" spans="1:9" ht="13.5" x14ac:dyDescent="0.25">
      <c r="A11" s="322">
        <f>Gen!B19</f>
        <v>44539</v>
      </c>
      <c r="B11" s="324">
        <v>0.09</v>
      </c>
      <c r="C11" s="337">
        <v>10</v>
      </c>
      <c r="D11" s="326">
        <v>1</v>
      </c>
      <c r="E11" s="325">
        <f>Gen!T19</f>
        <v>1371.66</v>
      </c>
      <c r="F11" s="325">
        <f>Gen!U19</f>
        <v>3399</v>
      </c>
      <c r="G11" s="325">
        <f>'Water-Meter'!E14</f>
        <v>65</v>
      </c>
      <c r="H11" s="325">
        <f>'Utility report '!AC14</f>
        <v>0</v>
      </c>
      <c r="I11" s="325">
        <f>Gen!AK19</f>
        <v>51.98</v>
      </c>
    </row>
    <row r="12" spans="1:9" ht="13.5" x14ac:dyDescent="0.25">
      <c r="A12" s="322">
        <f>Gen!B20</f>
        <v>44540</v>
      </c>
      <c r="B12" s="324">
        <v>0.12</v>
      </c>
      <c r="C12" s="337">
        <v>12</v>
      </c>
      <c r="D12" s="326">
        <v>1</v>
      </c>
      <c r="E12" s="325">
        <f>Gen!T20</f>
        <v>1347.33</v>
      </c>
      <c r="F12" s="325">
        <f>Gen!U20</f>
        <v>3440</v>
      </c>
      <c r="G12" s="325">
        <f>'Water-Meter'!E15</f>
        <v>71</v>
      </c>
      <c r="H12" s="325">
        <f>'Utility report '!AC15</f>
        <v>167</v>
      </c>
      <c r="I12" s="325">
        <f>Gen!AK20</f>
        <v>448.65</v>
      </c>
    </row>
    <row r="13" spans="1:9" ht="13.5" x14ac:dyDescent="0.25">
      <c r="A13" s="322">
        <f>Gen!B21</f>
        <v>44541</v>
      </c>
      <c r="B13" s="324">
        <v>0.12</v>
      </c>
      <c r="C13" s="337">
        <v>12</v>
      </c>
      <c r="D13" s="326">
        <v>1</v>
      </c>
      <c r="E13" s="325">
        <f>Gen!T21</f>
        <v>1512.79</v>
      </c>
      <c r="F13" s="325">
        <f>Gen!U21</f>
        <v>3696</v>
      </c>
      <c r="G13" s="325">
        <f>'Water-Meter'!E16</f>
        <v>72</v>
      </c>
      <c r="H13" s="325">
        <f>'Utility report '!AC16</f>
        <v>15</v>
      </c>
      <c r="I13" s="325">
        <f>Gen!AK21</f>
        <v>37.869999999999997</v>
      </c>
    </row>
    <row r="14" spans="1:9" ht="13.5" x14ac:dyDescent="0.25">
      <c r="A14" s="322">
        <f>Gen!B22</f>
        <v>44542</v>
      </c>
      <c r="B14" s="324">
        <v>0.12</v>
      </c>
      <c r="C14" s="337">
        <v>12</v>
      </c>
      <c r="D14" s="326">
        <v>1</v>
      </c>
      <c r="E14" s="325">
        <f>Gen!T22</f>
        <v>1485.24</v>
      </c>
      <c r="F14" s="325">
        <f>Gen!U22</f>
        <v>3646</v>
      </c>
      <c r="G14" s="325">
        <f>'Water-Meter'!E17</f>
        <v>65</v>
      </c>
      <c r="H14" s="325">
        <f>'Utility report '!AC17</f>
        <v>157</v>
      </c>
      <c r="I14" s="325">
        <f>Gen!AK22</f>
        <v>68.16</v>
      </c>
    </row>
    <row r="15" spans="1:9" ht="13.5" x14ac:dyDescent="0.25">
      <c r="A15" s="322">
        <f>Gen!B23</f>
        <v>44543</v>
      </c>
      <c r="B15" s="324">
        <v>0.16</v>
      </c>
      <c r="C15" s="337">
        <v>15</v>
      </c>
      <c r="D15" s="326">
        <v>1</v>
      </c>
      <c r="E15" s="325">
        <f>Gen!T23</f>
        <v>1579.63</v>
      </c>
      <c r="F15" s="325">
        <f>Gen!U23</f>
        <v>3967</v>
      </c>
      <c r="G15" s="325">
        <f>'Water-Meter'!E18</f>
        <v>68</v>
      </c>
      <c r="H15" s="325">
        <f>'Utility report '!AC18</f>
        <v>44</v>
      </c>
      <c r="I15" s="325">
        <f>Gen!AK23</f>
        <v>103.25</v>
      </c>
    </row>
    <row r="16" spans="1:9" ht="13.5" x14ac:dyDescent="0.25">
      <c r="A16" s="322">
        <f>Gen!B24</f>
        <v>44544</v>
      </c>
      <c r="B16" s="324">
        <v>0.17</v>
      </c>
      <c r="C16" s="337">
        <v>16</v>
      </c>
      <c r="D16" s="326">
        <v>1</v>
      </c>
      <c r="E16" s="325">
        <f>Gen!T24</f>
        <v>1342.22</v>
      </c>
      <c r="F16" s="325">
        <f>Gen!U24</f>
        <v>3411</v>
      </c>
      <c r="G16" s="325">
        <f>'Water-Meter'!E19</f>
        <v>78</v>
      </c>
      <c r="H16" s="325">
        <f>'Utility report '!AC19</f>
        <v>167</v>
      </c>
      <c r="I16" s="325">
        <f>Gen!AK24</f>
        <v>194.5</v>
      </c>
    </row>
    <row r="17" spans="1:9" ht="13.5" x14ac:dyDescent="0.25">
      <c r="A17" s="322">
        <f>Gen!B25</f>
        <v>44545</v>
      </c>
      <c r="B17" s="324">
        <v>0.18</v>
      </c>
      <c r="C17" s="337">
        <v>17</v>
      </c>
      <c r="D17" s="326">
        <v>1</v>
      </c>
      <c r="E17" s="325">
        <f>Gen!T25</f>
        <v>1601.9099999999999</v>
      </c>
      <c r="F17" s="325">
        <f>Gen!U25</f>
        <v>3878</v>
      </c>
      <c r="G17" s="325">
        <f>'Water-Meter'!E20</f>
        <v>72</v>
      </c>
      <c r="H17" s="325">
        <f>'Utility report '!AC20</f>
        <v>104</v>
      </c>
      <c r="I17" s="325">
        <f>Gen!AK25</f>
        <v>0</v>
      </c>
    </row>
    <row r="18" spans="1:9" ht="13.5" x14ac:dyDescent="0.25">
      <c r="A18" s="322">
        <f>Gen!B26</f>
        <v>44546</v>
      </c>
      <c r="B18" s="324">
        <v>0.16</v>
      </c>
      <c r="C18" s="337">
        <v>15</v>
      </c>
      <c r="D18" s="326">
        <v>1</v>
      </c>
      <c r="E18" s="325">
        <f>Gen!T26</f>
        <v>1526.57</v>
      </c>
      <c r="F18" s="325">
        <f>Gen!U26</f>
        <v>3906</v>
      </c>
      <c r="G18" s="325">
        <f>'Water-Meter'!E21</f>
        <v>73</v>
      </c>
      <c r="H18" s="325">
        <f>'Utility report '!AC21</f>
        <v>82</v>
      </c>
      <c r="I18" s="325">
        <f>Gen!AK26</f>
        <v>176.76</v>
      </c>
    </row>
    <row r="19" spans="1:9" ht="13.5" x14ac:dyDescent="0.25">
      <c r="A19" s="322">
        <f>Gen!B27</f>
        <v>44547</v>
      </c>
      <c r="B19" s="324">
        <v>0.16</v>
      </c>
      <c r="C19" s="337">
        <v>15</v>
      </c>
      <c r="D19" s="326">
        <v>1</v>
      </c>
      <c r="E19" s="325">
        <f>Gen!T27</f>
        <v>1519.37</v>
      </c>
      <c r="F19" s="325">
        <f>Gen!U27</f>
        <v>3764</v>
      </c>
      <c r="G19" s="325">
        <f>'Water-Meter'!E22</f>
        <v>73</v>
      </c>
      <c r="H19" s="325">
        <f>'Utility report '!AC22</f>
        <v>7</v>
      </c>
      <c r="I19" s="325">
        <f>Gen!AK27</f>
        <v>115.53</v>
      </c>
    </row>
    <row r="20" spans="1:9" ht="13.5" x14ac:dyDescent="0.25">
      <c r="A20" s="322">
        <f>Gen!B28</f>
        <v>44548</v>
      </c>
      <c r="B20" s="324">
        <v>0.13</v>
      </c>
      <c r="C20" s="337">
        <v>13</v>
      </c>
      <c r="D20" s="326">
        <v>1</v>
      </c>
      <c r="E20" s="325">
        <f>Gen!T28</f>
        <v>1531.62</v>
      </c>
      <c r="F20" s="325">
        <f>Gen!U28</f>
        <v>3882</v>
      </c>
      <c r="G20" s="325">
        <f>'Water-Meter'!E23</f>
        <v>85</v>
      </c>
      <c r="H20" s="325">
        <f>'Utility report '!AC23</f>
        <v>152</v>
      </c>
      <c r="I20" s="325">
        <f>Gen!AK28</f>
        <v>347</v>
      </c>
    </row>
    <row r="21" spans="1:9" ht="13.5" x14ac:dyDescent="0.25">
      <c r="A21" s="322">
        <f>Gen!B29</f>
        <v>44549</v>
      </c>
      <c r="B21" s="324">
        <v>0.12</v>
      </c>
      <c r="C21" s="337">
        <v>10</v>
      </c>
      <c r="D21" s="326">
        <v>1</v>
      </c>
      <c r="E21" s="325">
        <f>Gen!T29</f>
        <v>1590.6599999999999</v>
      </c>
      <c r="F21" s="325">
        <f>Gen!U29</f>
        <v>3745</v>
      </c>
      <c r="G21" s="325">
        <f>'Water-Meter'!E24</f>
        <v>80</v>
      </c>
      <c r="H21" s="325">
        <f>'Utility report '!AC24</f>
        <v>168</v>
      </c>
      <c r="I21" s="325">
        <f>Gen!AK29</f>
        <v>28.9</v>
      </c>
    </row>
    <row r="22" spans="1:9" ht="13.5" x14ac:dyDescent="0.25">
      <c r="A22" s="322">
        <f>Gen!B30</f>
        <v>44550</v>
      </c>
      <c r="B22" s="324">
        <v>0.06</v>
      </c>
      <c r="C22" s="337">
        <v>6</v>
      </c>
      <c r="D22" s="326">
        <v>1</v>
      </c>
      <c r="E22" s="325">
        <f>Gen!T30</f>
        <v>1280.58</v>
      </c>
      <c r="F22" s="325">
        <f>Gen!U30</f>
        <v>3257</v>
      </c>
      <c r="G22" s="325">
        <f>'Water-Meter'!E25</f>
        <v>76</v>
      </c>
      <c r="H22" s="325">
        <f>'Utility report '!AC25</f>
        <v>0</v>
      </c>
      <c r="I22" s="325">
        <f>Gen!AK30</f>
        <v>248.49</v>
      </c>
    </row>
    <row r="23" spans="1:9" ht="13.5" x14ac:dyDescent="0.25">
      <c r="A23" s="322">
        <f>Gen!B31</f>
        <v>44551</v>
      </c>
      <c r="B23" s="324">
        <v>0.1</v>
      </c>
      <c r="C23" s="337">
        <v>9</v>
      </c>
      <c r="D23" s="326">
        <v>1</v>
      </c>
      <c r="E23" s="325">
        <f>Gen!T31</f>
        <v>1850.97</v>
      </c>
      <c r="F23" s="325">
        <f>Gen!U31</f>
        <v>4495</v>
      </c>
      <c r="G23" s="325">
        <f>'Water-Meter'!E26</f>
        <v>69</v>
      </c>
      <c r="H23" s="325">
        <f>'Utility report '!AC26</f>
        <v>86</v>
      </c>
      <c r="I23" s="325">
        <f>Gen!AK31</f>
        <v>81</v>
      </c>
    </row>
    <row r="24" spans="1:9" ht="13.5" x14ac:dyDescent="0.25">
      <c r="A24" s="322">
        <f>Gen!B32</f>
        <v>44552</v>
      </c>
      <c r="B24" s="324">
        <v>0.17</v>
      </c>
      <c r="C24" s="337">
        <v>14</v>
      </c>
      <c r="D24" s="326">
        <v>1</v>
      </c>
      <c r="E24" s="325">
        <f>Gen!T32</f>
        <v>1693.83</v>
      </c>
      <c r="F24" s="325">
        <f>Gen!U32</f>
        <v>3996</v>
      </c>
      <c r="G24" s="325">
        <f>'Water-Meter'!E27</f>
        <v>71</v>
      </c>
      <c r="H24" s="325">
        <f>'Utility report '!AC27</f>
        <v>100</v>
      </c>
      <c r="I24" s="325">
        <f>Gen!AK32</f>
        <v>289.43</v>
      </c>
    </row>
    <row r="25" spans="1:9" ht="13.5" x14ac:dyDescent="0.25">
      <c r="A25" s="322">
        <f>Gen!B33</f>
        <v>44553</v>
      </c>
      <c r="B25" s="324">
        <v>0.17</v>
      </c>
      <c r="C25" s="337">
        <v>14</v>
      </c>
      <c r="D25" s="326">
        <v>1</v>
      </c>
      <c r="E25" s="325">
        <f>Gen!T33</f>
        <v>1680.85</v>
      </c>
      <c r="F25" s="325">
        <f>Gen!U33</f>
        <v>4192</v>
      </c>
      <c r="G25" s="325">
        <f>'Water-Meter'!E28</f>
        <v>85</v>
      </c>
      <c r="H25" s="325">
        <f>'Utility report '!AC28</f>
        <v>95</v>
      </c>
      <c r="I25" s="325">
        <f>Gen!AK33</f>
        <v>122.64</v>
      </c>
    </row>
    <row r="26" spans="1:9" ht="13.5" x14ac:dyDescent="0.25">
      <c r="A26" s="322">
        <f>Gen!B34</f>
        <v>44554</v>
      </c>
      <c r="B26" s="324">
        <v>0.47</v>
      </c>
      <c r="C26" s="337">
        <v>37</v>
      </c>
      <c r="D26" s="326">
        <v>1</v>
      </c>
      <c r="E26" s="325">
        <f>Gen!T34</f>
        <v>2112.66</v>
      </c>
      <c r="F26" s="325">
        <f>Gen!U34</f>
        <v>4947</v>
      </c>
      <c r="G26" s="325">
        <f>'Water-Meter'!E29</f>
        <v>75</v>
      </c>
      <c r="H26" s="325">
        <f>'Utility report '!AC29</f>
        <v>134</v>
      </c>
      <c r="I26" s="325">
        <f>Gen!AK34</f>
        <v>0</v>
      </c>
    </row>
    <row r="27" spans="1:9" ht="13.5" x14ac:dyDescent="0.25">
      <c r="A27" s="322">
        <f>Gen!B35</f>
        <v>44555</v>
      </c>
      <c r="B27" s="324">
        <v>0.57999999999999996</v>
      </c>
      <c r="C27" s="337">
        <v>46</v>
      </c>
      <c r="D27" s="326">
        <v>1</v>
      </c>
      <c r="E27" s="325">
        <f>Gen!T35</f>
        <v>2005.49</v>
      </c>
      <c r="F27" s="325">
        <f>Gen!U35</f>
        <v>4917</v>
      </c>
      <c r="G27" s="325">
        <f>'Water-Meter'!E30</f>
        <v>102</v>
      </c>
      <c r="H27" s="325">
        <f>'Utility report '!AC30</f>
        <v>85</v>
      </c>
      <c r="I27" s="325">
        <f>Gen!AK35</f>
        <v>35.200000000000003</v>
      </c>
    </row>
    <row r="28" spans="1:9" ht="13.5" x14ac:dyDescent="0.25">
      <c r="A28" s="322">
        <f>Gen!B36</f>
        <v>44556</v>
      </c>
      <c r="B28" s="324">
        <v>0.43</v>
      </c>
      <c r="C28" s="337">
        <v>35</v>
      </c>
      <c r="D28" s="326">
        <v>1</v>
      </c>
      <c r="E28" s="325">
        <f>Gen!T36</f>
        <v>2169.16</v>
      </c>
      <c r="F28" s="325">
        <f>Gen!U36</f>
        <v>4944</v>
      </c>
      <c r="G28" s="325">
        <f>'Water-Meter'!E31</f>
        <v>106</v>
      </c>
      <c r="H28" s="325">
        <f>'Utility report '!AC31</f>
        <v>48</v>
      </c>
      <c r="I28" s="325">
        <f>Gen!AK36</f>
        <v>280.98</v>
      </c>
    </row>
    <row r="29" spans="1:9" ht="13.5" x14ac:dyDescent="0.25">
      <c r="A29" s="322">
        <f>Gen!B37</f>
        <v>44557</v>
      </c>
      <c r="B29" s="324">
        <v>0.39</v>
      </c>
      <c r="C29" s="337">
        <v>31</v>
      </c>
      <c r="D29" s="326">
        <v>1</v>
      </c>
      <c r="E29" s="325">
        <f>Gen!T37</f>
        <v>2028.79</v>
      </c>
      <c r="F29" s="325">
        <f>Gen!U37</f>
        <v>5000</v>
      </c>
      <c r="G29" s="325">
        <f>'Water-Meter'!E32</f>
        <v>102</v>
      </c>
      <c r="H29" s="325">
        <f>'Utility report '!AC32</f>
        <v>135</v>
      </c>
      <c r="I29" s="325">
        <f>Gen!AK37</f>
        <v>49.66</v>
      </c>
    </row>
    <row r="30" spans="1:9" ht="13.5" x14ac:dyDescent="0.25">
      <c r="A30" s="322">
        <f>Gen!B38</f>
        <v>44558</v>
      </c>
      <c r="B30" s="324">
        <v>0.43</v>
      </c>
      <c r="C30" s="337">
        <v>34</v>
      </c>
      <c r="D30" s="326">
        <v>1</v>
      </c>
      <c r="E30" s="325">
        <f>Gen!T38</f>
        <v>2053.59</v>
      </c>
      <c r="F30" s="325">
        <f>Gen!U38</f>
        <v>4676</v>
      </c>
      <c r="G30" s="325">
        <f>'Water-Meter'!E33</f>
        <v>109</v>
      </c>
      <c r="H30" s="325">
        <f>'Utility report '!AC33</f>
        <v>77</v>
      </c>
      <c r="I30" s="325">
        <f>Gen!AK38</f>
        <v>186.49</v>
      </c>
    </row>
    <row r="31" spans="1:9" ht="13.5" x14ac:dyDescent="0.25">
      <c r="A31" s="322">
        <f>Gen!B39</f>
        <v>44559</v>
      </c>
      <c r="B31" s="324">
        <v>0.53</v>
      </c>
      <c r="C31" s="337">
        <v>42</v>
      </c>
      <c r="D31" s="326">
        <v>1</v>
      </c>
      <c r="E31" s="325">
        <f>Gen!T39</f>
        <v>2039.95</v>
      </c>
      <c r="F31" s="325">
        <f>Gen!U39</f>
        <v>4892</v>
      </c>
      <c r="G31" s="325">
        <f>'Water-Meter'!E34</f>
        <v>111</v>
      </c>
      <c r="H31" s="325">
        <f>'Utility report '!AC34</f>
        <v>101</v>
      </c>
      <c r="I31" s="325">
        <f>Gen!AK39</f>
        <v>236.12</v>
      </c>
    </row>
    <row r="32" spans="1:9" ht="13.5" x14ac:dyDescent="0.25">
      <c r="A32" s="322">
        <f>Gen!B40</f>
        <v>44560</v>
      </c>
      <c r="B32" s="324">
        <v>0.61</v>
      </c>
      <c r="C32" s="337">
        <v>48</v>
      </c>
      <c r="D32" s="326">
        <v>1</v>
      </c>
      <c r="E32" s="325">
        <f>Gen!T40</f>
        <v>2039.77</v>
      </c>
      <c r="F32" s="325">
        <f>Gen!U40</f>
        <v>4766</v>
      </c>
      <c r="G32" s="325">
        <f>'Water-Meter'!E35</f>
        <v>102</v>
      </c>
      <c r="H32" s="325">
        <f>'Utility report '!AC35</f>
        <v>149</v>
      </c>
      <c r="I32" s="325">
        <f>Gen!AK40</f>
        <v>34.26</v>
      </c>
    </row>
    <row r="33" spans="1:9" ht="13.5" x14ac:dyDescent="0.25">
      <c r="A33" s="322">
        <f>Gen!B41</f>
        <v>44561</v>
      </c>
      <c r="B33" s="324">
        <v>0.61</v>
      </c>
      <c r="C33" s="337">
        <v>48</v>
      </c>
      <c r="D33" s="326">
        <v>1</v>
      </c>
      <c r="E33" s="325">
        <f>Gen!T41</f>
        <v>1894.18</v>
      </c>
      <c r="F33" s="325">
        <f>Gen!U41</f>
        <v>4562</v>
      </c>
      <c r="G33" s="325">
        <f>'Water-Meter'!E36</f>
        <v>102</v>
      </c>
      <c r="H33" s="325">
        <f>'Utility report '!AC36</f>
        <v>156</v>
      </c>
      <c r="I33" s="325">
        <f>Gen!AK41</f>
        <v>882.87</v>
      </c>
    </row>
    <row r="34" spans="1:9" ht="13.5" x14ac:dyDescent="0.25">
      <c r="A34" s="322"/>
      <c r="B34" s="324">
        <f>Gen!C42</f>
        <v>0</v>
      </c>
      <c r="C34" s="325">
        <f>'Summery Report'!E36</f>
        <v>0</v>
      </c>
      <c r="D34" s="326">
        <v>2</v>
      </c>
      <c r="E34" s="325">
        <f>Gen!T42</f>
        <v>0</v>
      </c>
      <c r="F34" s="325">
        <f>Gen!U42</f>
        <v>0</v>
      </c>
      <c r="G34" s="325">
        <f>'Water-Meter'!E37</f>
        <v>120</v>
      </c>
      <c r="H34" s="325">
        <f>'Utility report '!AC37</f>
        <v>-21907</v>
      </c>
      <c r="I34" s="325">
        <f>Gen!AL42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53"/>
  <sheetViews>
    <sheetView zoomScale="70" zoomScaleNormal="70" workbookViewId="0">
      <selection activeCell="AE13" sqref="AE13"/>
    </sheetView>
  </sheetViews>
  <sheetFormatPr defaultRowHeight="12.75" x14ac:dyDescent="0.2"/>
  <cols>
    <col min="1" max="1" width="9.140625" style="4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x14ac:dyDescent="0.3">
      <c r="B1" s="915" t="s">
        <v>44</v>
      </c>
      <c r="C1" s="916"/>
      <c r="D1" s="916"/>
      <c r="E1" s="916"/>
      <c r="F1" s="917"/>
      <c r="G1" s="135"/>
      <c r="H1" s="910" t="s">
        <v>45</v>
      </c>
      <c r="I1" s="911"/>
      <c r="J1" s="911"/>
      <c r="K1" s="911"/>
      <c r="L1" s="912"/>
      <c r="M1" s="910" t="s">
        <v>46</v>
      </c>
      <c r="N1" s="911"/>
      <c r="O1" s="911"/>
      <c r="P1" s="911"/>
      <c r="Q1" s="912"/>
      <c r="R1" s="135"/>
      <c r="T1" s="915" t="s">
        <v>47</v>
      </c>
      <c r="U1" s="916"/>
      <c r="V1" s="916"/>
      <c r="W1" s="916"/>
      <c r="X1" s="917"/>
      <c r="Y1" s="910" t="s">
        <v>48</v>
      </c>
      <c r="Z1" s="911"/>
      <c r="AA1" s="911"/>
      <c r="AB1" s="911"/>
      <c r="AC1" s="912"/>
    </row>
    <row r="2" spans="1:29" ht="60" x14ac:dyDescent="0.25">
      <c r="A2" s="463" t="s">
        <v>33</v>
      </c>
      <c r="B2" s="136" t="s">
        <v>49</v>
      </c>
      <c r="C2" s="137" t="s">
        <v>50</v>
      </c>
      <c r="D2" s="138" t="s">
        <v>51</v>
      </c>
      <c r="E2" s="138" t="s">
        <v>52</v>
      </c>
      <c r="F2" s="139" t="s">
        <v>53</v>
      </c>
      <c r="G2" s="140"/>
      <c r="H2" s="136" t="s">
        <v>49</v>
      </c>
      <c r="I2" s="137" t="s">
        <v>50</v>
      </c>
      <c r="J2" s="138" t="s">
        <v>54</v>
      </c>
      <c r="K2" s="138" t="s">
        <v>55</v>
      </c>
      <c r="L2" s="145" t="s">
        <v>56</v>
      </c>
      <c r="M2" s="136" t="s">
        <v>49</v>
      </c>
      <c r="N2" s="137" t="s">
        <v>50</v>
      </c>
      <c r="O2" s="138" t="s">
        <v>54</v>
      </c>
      <c r="P2" s="138" t="s">
        <v>55</v>
      </c>
      <c r="Q2" s="145" t="s">
        <v>56</v>
      </c>
      <c r="R2" s="279" t="s">
        <v>57</v>
      </c>
      <c r="S2" s="509" t="s">
        <v>58</v>
      </c>
      <c r="T2" s="136" t="s">
        <v>49</v>
      </c>
      <c r="U2" s="137" t="s">
        <v>50</v>
      </c>
      <c r="V2" s="138" t="s">
        <v>59</v>
      </c>
      <c r="W2" s="138" t="s">
        <v>60</v>
      </c>
      <c r="X2" s="139" t="s">
        <v>53</v>
      </c>
      <c r="Y2" s="136" t="s">
        <v>49</v>
      </c>
      <c r="Z2" s="137" t="s">
        <v>50</v>
      </c>
      <c r="AA2" s="138" t="s">
        <v>54</v>
      </c>
      <c r="AB2" s="138" t="s">
        <v>55</v>
      </c>
      <c r="AC2" s="139" t="s">
        <v>56</v>
      </c>
    </row>
    <row r="3" spans="1:29" ht="31.5" customHeight="1" x14ac:dyDescent="0.3">
      <c r="A3" s="464">
        <f>Gen!B11</f>
        <v>44531</v>
      </c>
      <c r="B3" s="913" t="s">
        <v>61</v>
      </c>
      <c r="C3" s="914"/>
      <c r="D3" s="144"/>
      <c r="E3" s="458">
        <v>9756.7000000000007</v>
      </c>
      <c r="F3" s="860" t="s">
        <v>62</v>
      </c>
      <c r="G3" s="465"/>
      <c r="H3" s="913" t="s">
        <v>61</v>
      </c>
      <c r="I3" s="914"/>
      <c r="J3" s="487">
        <f>'Water-Meter'!G5</f>
        <v>0</v>
      </c>
      <c r="K3" s="466">
        <f>'Water-Meter'!G5</f>
        <v>0</v>
      </c>
      <c r="L3" s="206"/>
      <c r="M3" s="913" t="s">
        <v>61</v>
      </c>
      <c r="N3" s="914"/>
      <c r="O3" s="144"/>
      <c r="P3" s="467">
        <f>'Water-Meter'!J5</f>
        <v>8871</v>
      </c>
      <c r="Q3" s="143"/>
      <c r="R3" s="206"/>
      <c r="S3" s="510"/>
      <c r="T3" s="913" t="s">
        <v>61</v>
      </c>
      <c r="U3" s="914"/>
      <c r="V3" s="144"/>
      <c r="W3" s="761">
        <v>8710.2999999999993</v>
      </c>
      <c r="X3" s="468">
        <f t="shared" ref="X3:X35" si="0">(W3-V3)*200</f>
        <v>1742059.9999999998</v>
      </c>
      <c r="Y3" s="913" t="s">
        <v>61</v>
      </c>
      <c r="Z3" s="914"/>
      <c r="AA3" s="853"/>
      <c r="AB3" s="845">
        <f>'Water-Meter'!P5</f>
        <v>22709</v>
      </c>
      <c r="AC3" s="146"/>
    </row>
    <row r="4" spans="1:29" ht="18.75" x14ac:dyDescent="0.3">
      <c r="A4" s="511">
        <f>Gen!C11</f>
        <v>5.1900000000000002E-2</v>
      </c>
      <c r="B4" s="469">
        <f>Gen!B11</f>
        <v>44531</v>
      </c>
      <c r="C4" s="470"/>
      <c r="D4" s="471">
        <f t="shared" ref="D4" si="1">E3</f>
        <v>9756.7000000000007</v>
      </c>
      <c r="E4" s="856">
        <v>9756.7000000000007</v>
      </c>
      <c r="F4" s="855">
        <f>SUM(E5-D4)*120</f>
        <v>240</v>
      </c>
      <c r="G4" s="858"/>
      <c r="H4" s="499">
        <f>B4</f>
        <v>44531</v>
      </c>
      <c r="I4" s="470"/>
      <c r="J4" s="500">
        <f>'Water-Meter'!G6</f>
        <v>0</v>
      </c>
      <c r="K4" s="501">
        <f>'Water-Meter'!G6</f>
        <v>0</v>
      </c>
      <c r="L4" s="470">
        <f t="shared" ref="L4:L34" si="2">SUM(K4-J4)</f>
        <v>0</v>
      </c>
      <c r="M4" s="499">
        <f>H4</f>
        <v>44531</v>
      </c>
      <c r="N4" s="470"/>
      <c r="O4" s="49"/>
      <c r="P4" s="475">
        <f>'Water-Meter'!J6</f>
        <v>8872</v>
      </c>
      <c r="Q4" s="470">
        <f>N4-O3</f>
        <v>0</v>
      </c>
      <c r="R4" s="497">
        <f t="shared" ref="R4:R20" si="3">SUM(Q4/1615)</f>
        <v>0</v>
      </c>
      <c r="S4" s="502">
        <f>Gen!U11</f>
        <v>3130</v>
      </c>
      <c r="T4" s="499">
        <f>M4</f>
        <v>44531</v>
      </c>
      <c r="U4" s="470"/>
      <c r="V4" s="471">
        <f t="shared" ref="V4:V33" si="4">W3</f>
        <v>8710.2999999999993</v>
      </c>
      <c r="W4" s="761">
        <v>8710.2999999999993</v>
      </c>
      <c r="X4" s="468">
        <f t="shared" si="0"/>
        <v>0</v>
      </c>
      <c r="Y4" s="499">
        <f>T4</f>
        <v>44531</v>
      </c>
      <c r="Z4" s="848"/>
      <c r="AA4" s="846">
        <f>AB3</f>
        <v>22709</v>
      </c>
      <c r="AB4" s="851">
        <f>'Water-Meter'!P6</f>
        <v>22716</v>
      </c>
      <c r="AC4" s="503">
        <f t="shared" ref="AC4:AC33" si="5">AB4-AA4</f>
        <v>7</v>
      </c>
    </row>
    <row r="5" spans="1:29" ht="18.75" x14ac:dyDescent="0.3">
      <c r="A5" s="512">
        <f>Gen!C12</f>
        <v>0.05</v>
      </c>
      <c r="B5" s="472">
        <f>Gen!B12</f>
        <v>44532</v>
      </c>
      <c r="C5" s="457"/>
      <c r="D5" s="462">
        <f>E5</f>
        <v>9758.7000000000007</v>
      </c>
      <c r="E5" s="857">
        <v>9758.7000000000007</v>
      </c>
      <c r="F5" s="855">
        <f t="shared" ref="F5:F7" si="6">SUM(E6-D5)*120</f>
        <v>240</v>
      </c>
      <c r="G5" s="859"/>
      <c r="H5" s="494">
        <f t="shared" ref="H5:H33" si="7">B5</f>
        <v>44532</v>
      </c>
      <c r="I5" s="457"/>
      <c r="J5" s="495">
        <f>'Water-Meter'!G7</f>
        <v>0</v>
      </c>
      <c r="K5" s="496">
        <f>'Water-Meter'!G7</f>
        <v>0</v>
      </c>
      <c r="L5" s="457">
        <f t="shared" si="2"/>
        <v>0</v>
      </c>
      <c r="M5" s="494">
        <f t="shared" ref="M5:M35" si="8">H5</f>
        <v>44532</v>
      </c>
      <c r="N5" s="457"/>
      <c r="O5" s="6"/>
      <c r="P5" s="461">
        <f>'Water-Meter'!J7</f>
        <v>8874</v>
      </c>
      <c r="Q5" s="457">
        <f t="shared" ref="Q5:Q20" si="9">N5-O4</f>
        <v>0</v>
      </c>
      <c r="R5" s="497">
        <f t="shared" si="3"/>
        <v>0</v>
      </c>
      <c r="S5" s="498">
        <f>Gen!U12</f>
        <v>3105</v>
      </c>
      <c r="T5" s="499">
        <f t="shared" ref="T5:T34" si="10">M5</f>
        <v>44532</v>
      </c>
      <c r="U5" s="457"/>
      <c r="V5" s="462">
        <f t="shared" si="4"/>
        <v>8710.2999999999993</v>
      </c>
      <c r="W5" s="459">
        <v>8712.5</v>
      </c>
      <c r="X5" s="462">
        <f t="shared" si="0"/>
        <v>440.00000000014552</v>
      </c>
      <c r="Y5" s="494">
        <f t="shared" ref="Y5:Y30" si="11">T5</f>
        <v>44532</v>
      </c>
      <c r="Z5" s="849"/>
      <c r="AA5" s="846">
        <f>AB4</f>
        <v>22716</v>
      </c>
      <c r="AB5" s="851">
        <f>'Water-Meter'!P7</f>
        <v>22721</v>
      </c>
      <c r="AC5" s="503">
        <f t="shared" si="5"/>
        <v>5</v>
      </c>
    </row>
    <row r="6" spans="1:29" ht="18.75" x14ac:dyDescent="0.3">
      <c r="A6" s="512">
        <f>Gen!C13</f>
        <v>0.05</v>
      </c>
      <c r="B6" s="472">
        <f>Gen!B13</f>
        <v>44533</v>
      </c>
      <c r="C6" s="457"/>
      <c r="D6" s="462">
        <f t="shared" ref="D6:D35" si="12">E6</f>
        <v>9760.7000000000007</v>
      </c>
      <c r="E6" s="857">
        <v>9760.7000000000007</v>
      </c>
      <c r="F6" s="855">
        <f t="shared" si="6"/>
        <v>251.99999999982538</v>
      </c>
      <c r="G6" s="859"/>
      <c r="H6" s="494">
        <f t="shared" si="7"/>
        <v>44533</v>
      </c>
      <c r="I6" s="457"/>
      <c r="J6" s="495">
        <f>'Water-Meter'!G8</f>
        <v>0</v>
      </c>
      <c r="K6" s="496">
        <f>'Water-Meter'!G8</f>
        <v>0</v>
      </c>
      <c r="L6" s="457">
        <f t="shared" si="2"/>
        <v>0</v>
      </c>
      <c r="M6" s="494">
        <f t="shared" si="8"/>
        <v>44533</v>
      </c>
      <c r="N6" s="457"/>
      <c r="O6" s="6"/>
      <c r="P6" s="461">
        <f>'Water-Meter'!J8</f>
        <v>8876</v>
      </c>
      <c r="Q6" s="457">
        <f t="shared" si="9"/>
        <v>0</v>
      </c>
      <c r="R6" s="497">
        <f t="shared" si="3"/>
        <v>0</v>
      </c>
      <c r="S6" s="498">
        <f>Gen!U13</f>
        <v>2910</v>
      </c>
      <c r="T6" s="499">
        <f t="shared" si="10"/>
        <v>44533</v>
      </c>
      <c r="U6" s="457"/>
      <c r="V6" s="462">
        <f t="shared" si="4"/>
        <v>8712.5</v>
      </c>
      <c r="W6" s="761">
        <v>8714.1</v>
      </c>
      <c r="X6" s="462">
        <f t="shared" si="0"/>
        <v>320.00000000007276</v>
      </c>
      <c r="Y6" s="494">
        <f t="shared" si="11"/>
        <v>44533</v>
      </c>
      <c r="Z6" s="849"/>
      <c r="AA6" s="847">
        <f t="shared" ref="AA6:AA34" si="13">AB5</f>
        <v>22721</v>
      </c>
      <c r="AB6" s="851">
        <f>'Water-Meter'!P8</f>
        <v>22724</v>
      </c>
      <c r="AC6" s="503">
        <f t="shared" si="5"/>
        <v>3</v>
      </c>
    </row>
    <row r="7" spans="1:29" ht="18.75" x14ac:dyDescent="0.3">
      <c r="A7" s="512">
        <f>Gen!C14</f>
        <v>0.08</v>
      </c>
      <c r="B7" s="472">
        <f>Gen!B14</f>
        <v>44534</v>
      </c>
      <c r="C7" s="457"/>
      <c r="D7" s="462">
        <f t="shared" si="12"/>
        <v>9762.7999999999993</v>
      </c>
      <c r="E7" s="857">
        <v>9762.7999999999993</v>
      </c>
      <c r="F7" s="855">
        <f t="shared" si="6"/>
        <v>276.00000000013097</v>
      </c>
      <c r="G7" s="859"/>
      <c r="H7" s="494">
        <f t="shared" si="7"/>
        <v>44534</v>
      </c>
      <c r="I7" s="457"/>
      <c r="J7" s="495">
        <f>'Water-Meter'!G9</f>
        <v>0</v>
      </c>
      <c r="K7" s="496">
        <f>'Water-Meter'!G9</f>
        <v>0</v>
      </c>
      <c r="L7" s="457">
        <f t="shared" si="2"/>
        <v>0</v>
      </c>
      <c r="M7" s="494">
        <f t="shared" si="8"/>
        <v>44534</v>
      </c>
      <c r="N7" s="457"/>
      <c r="O7" s="6"/>
      <c r="P7" s="461">
        <f>'Water-Meter'!J9</f>
        <v>8889</v>
      </c>
      <c r="Q7" s="457">
        <f t="shared" si="9"/>
        <v>0</v>
      </c>
      <c r="R7" s="497">
        <f t="shared" si="3"/>
        <v>0</v>
      </c>
      <c r="S7" s="498">
        <f>Gen!U14</f>
        <v>3289</v>
      </c>
      <c r="T7" s="499">
        <f t="shared" si="10"/>
        <v>44534</v>
      </c>
      <c r="U7" s="457"/>
      <c r="V7" s="462">
        <f t="shared" si="4"/>
        <v>8714.1</v>
      </c>
      <c r="W7" s="761">
        <v>8715.7999999999993</v>
      </c>
      <c r="X7" s="462">
        <f t="shared" si="0"/>
        <v>339.99999999978172</v>
      </c>
      <c r="Y7" s="494">
        <f t="shared" si="11"/>
        <v>44534</v>
      </c>
      <c r="Z7" s="849"/>
      <c r="AA7" s="847">
        <f t="shared" si="13"/>
        <v>22724</v>
      </c>
      <c r="AB7" s="852">
        <f>'Water-Meter'!P9</f>
        <v>22729</v>
      </c>
      <c r="AC7" s="503">
        <f t="shared" si="5"/>
        <v>5</v>
      </c>
    </row>
    <row r="8" spans="1:29" ht="18.75" x14ac:dyDescent="0.3">
      <c r="A8" s="512">
        <f>Gen!C15</f>
        <v>0.05</v>
      </c>
      <c r="B8" s="472">
        <f>Gen!B15</f>
        <v>44535</v>
      </c>
      <c r="C8" s="457"/>
      <c r="D8" s="462">
        <f>E8</f>
        <v>9765.1</v>
      </c>
      <c r="E8" s="857">
        <v>9765.1</v>
      </c>
      <c r="F8" s="855">
        <f t="shared" ref="F8:F36" si="14">SUM(E9-D8)*120</f>
        <v>215.99999999991269</v>
      </c>
      <c r="G8" s="859"/>
      <c r="H8" s="494">
        <f t="shared" si="7"/>
        <v>44535</v>
      </c>
      <c r="I8" s="457"/>
      <c r="J8" s="495">
        <f>'Water-Meter'!G10</f>
        <v>0</v>
      </c>
      <c r="K8" s="496">
        <f>'Water-Meter'!G10</f>
        <v>0</v>
      </c>
      <c r="L8" s="457">
        <f t="shared" si="2"/>
        <v>0</v>
      </c>
      <c r="M8" s="494">
        <f t="shared" si="8"/>
        <v>44535</v>
      </c>
      <c r="N8" s="457"/>
      <c r="O8" s="6"/>
      <c r="P8" s="461">
        <f>'Water-Meter'!J10</f>
        <v>8895</v>
      </c>
      <c r="Q8" s="457">
        <f t="shared" si="9"/>
        <v>0</v>
      </c>
      <c r="R8" s="497">
        <f t="shared" si="3"/>
        <v>0</v>
      </c>
      <c r="S8" s="498">
        <f>Gen!U15</f>
        <v>3146</v>
      </c>
      <c r="T8" s="499">
        <f t="shared" si="10"/>
        <v>44535</v>
      </c>
      <c r="U8" s="457"/>
      <c r="V8" s="462">
        <f t="shared" si="4"/>
        <v>8715.7999999999993</v>
      </c>
      <c r="W8" s="761">
        <v>8717.2999999999993</v>
      </c>
      <c r="X8" s="462">
        <f t="shared" si="0"/>
        <v>300</v>
      </c>
      <c r="Y8" s="494">
        <f t="shared" si="11"/>
        <v>44535</v>
      </c>
      <c r="Z8" s="849"/>
      <c r="AA8" s="847">
        <f t="shared" si="13"/>
        <v>22729</v>
      </c>
      <c r="AB8" s="852">
        <f>'Water-Meter'!P10</f>
        <v>22733</v>
      </c>
      <c r="AC8" s="503">
        <f t="shared" si="5"/>
        <v>4</v>
      </c>
    </row>
    <row r="9" spans="1:29" ht="18.75" x14ac:dyDescent="0.3">
      <c r="A9" s="512">
        <f>Gen!C16</f>
        <v>7.7899999999999997E-2</v>
      </c>
      <c r="B9" s="472">
        <f>Gen!B16</f>
        <v>44536</v>
      </c>
      <c r="C9" s="457"/>
      <c r="D9" s="462">
        <f>E9</f>
        <v>9766.9</v>
      </c>
      <c r="E9" s="857">
        <v>9766.9</v>
      </c>
      <c r="F9" s="855">
        <f t="shared" si="14"/>
        <v>227.99999999995634</v>
      </c>
      <c r="G9" s="859"/>
      <c r="H9" s="494">
        <f t="shared" si="7"/>
        <v>44536</v>
      </c>
      <c r="I9" s="457"/>
      <c r="J9" s="495">
        <f>'Water-Meter'!G11</f>
        <v>0</v>
      </c>
      <c r="K9" s="496">
        <f>'Water-Meter'!G11</f>
        <v>0</v>
      </c>
      <c r="L9" s="457">
        <f t="shared" si="2"/>
        <v>0</v>
      </c>
      <c r="M9" s="494">
        <f t="shared" si="8"/>
        <v>44536</v>
      </c>
      <c r="N9" s="457"/>
      <c r="O9" s="6"/>
      <c r="P9" s="461">
        <f>'Water-Meter'!J11</f>
        <v>8897</v>
      </c>
      <c r="Q9" s="457">
        <f t="shared" si="9"/>
        <v>0</v>
      </c>
      <c r="R9" s="497">
        <f t="shared" si="3"/>
        <v>0</v>
      </c>
      <c r="S9" s="498">
        <f>Gen!U16</f>
        <v>3361</v>
      </c>
      <c r="T9" s="499">
        <f t="shared" si="10"/>
        <v>44536</v>
      </c>
      <c r="U9" s="457"/>
      <c r="V9" s="462">
        <f t="shared" si="4"/>
        <v>8717.2999999999993</v>
      </c>
      <c r="W9" s="761">
        <v>8718.9</v>
      </c>
      <c r="X9" s="462">
        <f t="shared" si="0"/>
        <v>320.00000000007276</v>
      </c>
      <c r="Y9" s="494">
        <f t="shared" si="11"/>
        <v>44536</v>
      </c>
      <c r="Z9" s="849"/>
      <c r="AA9" s="847">
        <f t="shared" si="13"/>
        <v>22733</v>
      </c>
      <c r="AB9" s="852">
        <f>'Water-Meter'!P11</f>
        <v>22738</v>
      </c>
      <c r="AC9" s="503">
        <f t="shared" si="5"/>
        <v>5</v>
      </c>
    </row>
    <row r="10" spans="1:29" ht="18.75" x14ac:dyDescent="0.3">
      <c r="A10" s="512">
        <f>Gen!C17</f>
        <v>7.7899999999999997E-2</v>
      </c>
      <c r="B10" s="472">
        <f>Gen!B17</f>
        <v>44537</v>
      </c>
      <c r="C10" s="457"/>
      <c r="D10" s="462">
        <f t="shared" si="12"/>
        <v>9768.7999999999993</v>
      </c>
      <c r="E10" s="857">
        <v>9768.7999999999993</v>
      </c>
      <c r="F10" s="855">
        <f t="shared" si="14"/>
        <v>228.00000000017462</v>
      </c>
      <c r="G10" s="859"/>
      <c r="H10" s="494">
        <f t="shared" si="7"/>
        <v>44537</v>
      </c>
      <c r="I10" s="457"/>
      <c r="J10" s="495">
        <f>'Water-Meter'!G12</f>
        <v>0</v>
      </c>
      <c r="K10" s="496">
        <f>'Water-Meter'!G12</f>
        <v>0</v>
      </c>
      <c r="L10" s="457">
        <f t="shared" si="2"/>
        <v>0</v>
      </c>
      <c r="M10" s="494">
        <f t="shared" si="8"/>
        <v>44537</v>
      </c>
      <c r="N10" s="457"/>
      <c r="O10" s="6"/>
      <c r="P10" s="461">
        <f>'Water-Meter'!J12</f>
        <v>8900</v>
      </c>
      <c r="Q10" s="457"/>
      <c r="R10" s="497">
        <f t="shared" si="3"/>
        <v>0</v>
      </c>
      <c r="S10" s="498">
        <f>Gen!U17</f>
        <v>3380</v>
      </c>
      <c r="T10" s="499">
        <f t="shared" si="10"/>
        <v>44537</v>
      </c>
      <c r="U10" s="457"/>
      <c r="V10" s="462">
        <f t="shared" si="4"/>
        <v>8718.9</v>
      </c>
      <c r="W10" s="761">
        <v>8720.5</v>
      </c>
      <c r="X10" s="462">
        <f t="shared" si="0"/>
        <v>320.00000000007276</v>
      </c>
      <c r="Y10" s="494">
        <f t="shared" si="11"/>
        <v>44537</v>
      </c>
      <c r="Z10" s="849"/>
      <c r="AA10" s="847">
        <f t="shared" si="13"/>
        <v>22738</v>
      </c>
      <c r="AB10" s="852">
        <f>'Water-Meter'!P12</f>
        <v>22745</v>
      </c>
      <c r="AC10" s="503">
        <f t="shared" si="5"/>
        <v>7</v>
      </c>
    </row>
    <row r="11" spans="1:29" ht="18.75" x14ac:dyDescent="0.3">
      <c r="A11" s="512">
        <f>Gen!C18</f>
        <v>0.12</v>
      </c>
      <c r="B11" s="472">
        <f>Gen!B18</f>
        <v>44538</v>
      </c>
      <c r="C11" s="457"/>
      <c r="D11" s="462">
        <f t="shared" si="12"/>
        <v>9770.7000000000007</v>
      </c>
      <c r="E11" s="857">
        <v>9770.7000000000007</v>
      </c>
      <c r="F11" s="855">
        <f t="shared" si="14"/>
        <v>240</v>
      </c>
      <c r="G11" s="859"/>
      <c r="H11" s="494">
        <f t="shared" si="7"/>
        <v>44538</v>
      </c>
      <c r="I11" s="457"/>
      <c r="J11" s="495">
        <f>'Water-Meter'!G13</f>
        <v>0</v>
      </c>
      <c r="K11" s="496">
        <f>'Water-Meter'!G13</f>
        <v>0</v>
      </c>
      <c r="L11" s="457">
        <f t="shared" si="2"/>
        <v>0</v>
      </c>
      <c r="M11" s="494">
        <f t="shared" si="8"/>
        <v>44538</v>
      </c>
      <c r="N11" s="457"/>
      <c r="O11" s="6"/>
      <c r="P11" s="461">
        <f>'Water-Meter'!J13</f>
        <v>8903</v>
      </c>
      <c r="Q11" s="457">
        <f t="shared" si="9"/>
        <v>0</v>
      </c>
      <c r="R11" s="497">
        <f t="shared" si="3"/>
        <v>0</v>
      </c>
      <c r="S11" s="498">
        <f>Gen!U18</f>
        <v>3662</v>
      </c>
      <c r="T11" s="499">
        <f t="shared" si="10"/>
        <v>44538</v>
      </c>
      <c r="U11" s="457"/>
      <c r="V11" s="462">
        <f t="shared" si="4"/>
        <v>8720.5</v>
      </c>
      <c r="W11" s="761">
        <v>8722.7000000000007</v>
      </c>
      <c r="X11" s="462">
        <f t="shared" si="0"/>
        <v>440.00000000014552</v>
      </c>
      <c r="Y11" s="494">
        <f t="shared" si="11"/>
        <v>44538</v>
      </c>
      <c r="Z11" s="849"/>
      <c r="AA11" s="847">
        <f t="shared" si="13"/>
        <v>22745</v>
      </c>
      <c r="AB11" s="852">
        <f>'Water-Meter'!P13</f>
        <v>22751</v>
      </c>
      <c r="AC11" s="503">
        <f t="shared" si="5"/>
        <v>6</v>
      </c>
    </row>
    <row r="12" spans="1:29" ht="18.75" x14ac:dyDescent="0.3">
      <c r="A12" s="512">
        <f>Gen!C19</f>
        <v>0.09</v>
      </c>
      <c r="B12" s="472">
        <f>Gen!B19</f>
        <v>44539</v>
      </c>
      <c r="C12" s="457"/>
      <c r="D12" s="462">
        <f t="shared" si="12"/>
        <v>9772.7000000000007</v>
      </c>
      <c r="E12" s="724">
        <v>9772.7000000000007</v>
      </c>
      <c r="F12" s="855">
        <f t="shared" si="14"/>
        <v>240</v>
      </c>
      <c r="G12" s="859"/>
      <c r="H12" s="494">
        <f t="shared" si="7"/>
        <v>44539</v>
      </c>
      <c r="I12" s="457"/>
      <c r="J12" s="495">
        <f>'Water-Meter'!G14</f>
        <v>0</v>
      </c>
      <c r="K12" s="496">
        <f>'Water-Meter'!G14</f>
        <v>0</v>
      </c>
      <c r="L12" s="676">
        <f>SUM(K12-J12)</f>
        <v>0</v>
      </c>
      <c r="M12" s="494">
        <f t="shared" si="8"/>
        <v>44539</v>
      </c>
      <c r="N12" s="457"/>
      <c r="O12" s="6"/>
      <c r="P12" s="461">
        <f>'Water-Meter'!J14</f>
        <v>8905</v>
      </c>
      <c r="Q12" s="457">
        <f t="shared" si="9"/>
        <v>0</v>
      </c>
      <c r="R12" s="497">
        <f t="shared" si="3"/>
        <v>0</v>
      </c>
      <c r="S12" s="498">
        <f>Gen!U19</f>
        <v>3399</v>
      </c>
      <c r="T12" s="499">
        <f t="shared" si="10"/>
        <v>44539</v>
      </c>
      <c r="U12" s="457"/>
      <c r="V12" s="462">
        <f t="shared" si="4"/>
        <v>8722.7000000000007</v>
      </c>
      <c r="W12" s="761">
        <v>8724.2999999999993</v>
      </c>
      <c r="X12" s="462">
        <f t="shared" si="0"/>
        <v>319.99999999970896</v>
      </c>
      <c r="Y12" s="494">
        <f t="shared" si="11"/>
        <v>44539</v>
      </c>
      <c r="Z12" s="849"/>
      <c r="AA12" s="847">
        <f t="shared" si="13"/>
        <v>22751</v>
      </c>
      <c r="AB12" s="852">
        <f>'Water-Meter'!P14</f>
        <v>22754</v>
      </c>
      <c r="AC12" s="503">
        <f t="shared" si="5"/>
        <v>3</v>
      </c>
    </row>
    <row r="13" spans="1:29" ht="18.75" x14ac:dyDescent="0.3">
      <c r="A13" s="512">
        <f>Gen!C20</f>
        <v>0.12</v>
      </c>
      <c r="B13" s="472">
        <f>Gen!B20</f>
        <v>44540</v>
      </c>
      <c r="C13" s="457"/>
      <c r="D13" s="462">
        <f t="shared" si="12"/>
        <v>9774.7000000000007</v>
      </c>
      <c r="E13" s="857">
        <v>9774.7000000000007</v>
      </c>
      <c r="F13" s="855">
        <f t="shared" si="14"/>
        <v>251.99999999982538</v>
      </c>
      <c r="G13" s="859"/>
      <c r="H13" s="494">
        <f t="shared" si="7"/>
        <v>44540</v>
      </c>
      <c r="I13" s="457"/>
      <c r="J13" s="495">
        <f>'Water-Meter'!G15</f>
        <v>0</v>
      </c>
      <c r="K13" s="496">
        <f>'Water-Meter'!G15</f>
        <v>0</v>
      </c>
      <c r="L13" s="457">
        <f t="shared" si="2"/>
        <v>0</v>
      </c>
      <c r="M13" s="494">
        <f t="shared" si="8"/>
        <v>44540</v>
      </c>
      <c r="N13" s="457"/>
      <c r="O13" s="6"/>
      <c r="P13" s="461">
        <f>'Water-Meter'!J15</f>
        <v>8906</v>
      </c>
      <c r="Q13" s="457">
        <f>N13-O12</f>
        <v>0</v>
      </c>
      <c r="R13" s="497">
        <f t="shared" si="3"/>
        <v>0</v>
      </c>
      <c r="S13" s="498">
        <f>Gen!U20</f>
        <v>3440</v>
      </c>
      <c r="T13" s="499">
        <f t="shared" si="10"/>
        <v>44540</v>
      </c>
      <c r="U13" s="457"/>
      <c r="V13" s="462">
        <f t="shared" si="4"/>
        <v>8724.2999999999993</v>
      </c>
      <c r="W13" s="761">
        <v>8726.2000000000007</v>
      </c>
      <c r="X13" s="462">
        <f t="shared" si="0"/>
        <v>380.00000000029104</v>
      </c>
      <c r="Y13" s="494">
        <f t="shared" si="11"/>
        <v>44540</v>
      </c>
      <c r="Z13" s="849"/>
      <c r="AA13" s="847">
        <f t="shared" si="13"/>
        <v>22754</v>
      </c>
      <c r="AB13" s="852">
        <f>'Water-Meter'!P15</f>
        <v>22760</v>
      </c>
      <c r="AC13" s="503">
        <f t="shared" si="5"/>
        <v>6</v>
      </c>
    </row>
    <row r="14" spans="1:29" ht="18.75" x14ac:dyDescent="0.3">
      <c r="A14" s="512">
        <f>Gen!C21</f>
        <v>0.12</v>
      </c>
      <c r="B14" s="472">
        <f>Gen!B21</f>
        <v>44541</v>
      </c>
      <c r="C14" s="457"/>
      <c r="D14" s="462">
        <f t="shared" si="12"/>
        <v>9776.7999999999993</v>
      </c>
      <c r="E14" s="857">
        <v>9776.7999999999993</v>
      </c>
      <c r="F14" s="855">
        <f t="shared" si="14"/>
        <v>228.00000000017462</v>
      </c>
      <c r="G14" s="859"/>
      <c r="H14" s="494">
        <f t="shared" si="7"/>
        <v>44541</v>
      </c>
      <c r="I14" s="457"/>
      <c r="J14" s="495">
        <f>'Water-Meter'!G15</f>
        <v>0</v>
      </c>
      <c r="K14" s="496">
        <f>'Water-Meter'!G15</f>
        <v>0</v>
      </c>
      <c r="L14" s="457">
        <f t="shared" si="2"/>
        <v>0</v>
      </c>
      <c r="M14" s="494">
        <f t="shared" si="8"/>
        <v>44541</v>
      </c>
      <c r="N14" s="457"/>
      <c r="O14" s="6"/>
      <c r="P14" s="461">
        <f>'Water-Meter'!J16</f>
        <v>8908</v>
      </c>
      <c r="Q14" s="457">
        <f t="shared" ref="Q14:Q19" si="15">N14-O13</f>
        <v>0</v>
      </c>
      <c r="R14" s="497">
        <f t="shared" si="3"/>
        <v>0</v>
      </c>
      <c r="S14" s="498">
        <f>Gen!U21</f>
        <v>3696</v>
      </c>
      <c r="T14" s="499">
        <f t="shared" si="10"/>
        <v>44541</v>
      </c>
      <c r="U14" s="457"/>
      <c r="V14" s="462">
        <f t="shared" si="4"/>
        <v>8726.2000000000007</v>
      </c>
      <c r="W14" s="761">
        <v>8727.9</v>
      </c>
      <c r="X14" s="462">
        <f t="shared" si="0"/>
        <v>339.99999999978172</v>
      </c>
      <c r="Y14" s="494">
        <f t="shared" si="11"/>
        <v>44541</v>
      </c>
      <c r="Z14" s="849"/>
      <c r="AA14" s="847">
        <f t="shared" si="13"/>
        <v>22760</v>
      </c>
      <c r="AB14" s="852">
        <f>'Water-Meter'!P16</f>
        <v>22764</v>
      </c>
      <c r="AC14" s="503">
        <f t="shared" si="5"/>
        <v>4</v>
      </c>
    </row>
    <row r="15" spans="1:29" ht="18.75" x14ac:dyDescent="0.3">
      <c r="A15" s="512">
        <f>Gen!C22</f>
        <v>0.12</v>
      </c>
      <c r="B15" s="472">
        <f>Gen!B22</f>
        <v>44542</v>
      </c>
      <c r="C15" s="457"/>
      <c r="D15" s="462">
        <f t="shared" si="12"/>
        <v>9778.7000000000007</v>
      </c>
      <c r="E15" s="857">
        <v>9778.7000000000007</v>
      </c>
      <c r="F15" s="855">
        <f t="shared" si="14"/>
        <v>263.99999999986903</v>
      </c>
      <c r="G15" s="859"/>
      <c r="H15" s="494">
        <f t="shared" si="7"/>
        <v>44542</v>
      </c>
      <c r="I15" s="457"/>
      <c r="J15" s="495">
        <f>'Water-Meter'!G17</f>
        <v>0</v>
      </c>
      <c r="K15" s="496">
        <f>'Water-Meter'!G17</f>
        <v>0</v>
      </c>
      <c r="L15" s="457">
        <f t="shared" si="2"/>
        <v>0</v>
      </c>
      <c r="M15" s="494">
        <f t="shared" si="8"/>
        <v>44542</v>
      </c>
      <c r="N15" s="457"/>
      <c r="O15" s="6"/>
      <c r="P15" s="461">
        <f>'Water-Meter'!J17</f>
        <v>8910</v>
      </c>
      <c r="Q15" s="457">
        <f t="shared" si="15"/>
        <v>0</v>
      </c>
      <c r="R15" s="497">
        <f t="shared" si="3"/>
        <v>0</v>
      </c>
      <c r="S15" s="498">
        <f>Gen!U22</f>
        <v>3646</v>
      </c>
      <c r="T15" s="499">
        <f t="shared" si="10"/>
        <v>44542</v>
      </c>
      <c r="U15" s="457"/>
      <c r="V15" s="462">
        <f t="shared" si="4"/>
        <v>8727.9</v>
      </c>
      <c r="W15" s="761">
        <v>8730.1</v>
      </c>
      <c r="X15" s="462">
        <f t="shared" si="0"/>
        <v>440.00000000014552</v>
      </c>
      <c r="Y15" s="494">
        <f t="shared" si="11"/>
        <v>44542</v>
      </c>
      <c r="Z15" s="849"/>
      <c r="AA15" s="847">
        <f t="shared" si="13"/>
        <v>22764</v>
      </c>
      <c r="AB15" s="852">
        <f>'Water-Meter'!P17</f>
        <v>22769</v>
      </c>
      <c r="AC15" s="503">
        <f t="shared" si="5"/>
        <v>5</v>
      </c>
    </row>
    <row r="16" spans="1:29" ht="18.75" x14ac:dyDescent="0.3">
      <c r="A16" s="512">
        <f>Gen!C23</f>
        <v>0.16</v>
      </c>
      <c r="B16" s="472">
        <f>Gen!B23</f>
        <v>44543</v>
      </c>
      <c r="C16" s="457"/>
      <c r="D16" s="462">
        <f t="shared" si="12"/>
        <v>9780.9</v>
      </c>
      <c r="E16" s="857">
        <v>9780.9</v>
      </c>
      <c r="F16" s="855">
        <f t="shared" si="14"/>
        <v>276.00000000013097</v>
      </c>
      <c r="G16" s="859"/>
      <c r="H16" s="494">
        <f t="shared" si="7"/>
        <v>44543</v>
      </c>
      <c r="I16" s="457"/>
      <c r="J16" s="495">
        <f>'Water-Meter'!G18</f>
        <v>0</v>
      </c>
      <c r="K16" s="496">
        <f>'Water-Meter'!G18</f>
        <v>0</v>
      </c>
      <c r="L16" s="457">
        <f t="shared" si="2"/>
        <v>0</v>
      </c>
      <c r="M16" s="494">
        <f t="shared" si="8"/>
        <v>44543</v>
      </c>
      <c r="N16" s="457"/>
      <c r="O16" s="6"/>
      <c r="P16" s="461">
        <f>'Water-Meter'!J18</f>
        <v>8913</v>
      </c>
      <c r="Q16" s="457">
        <f t="shared" si="15"/>
        <v>0</v>
      </c>
      <c r="R16" s="497">
        <f t="shared" si="3"/>
        <v>0</v>
      </c>
      <c r="S16" s="498">
        <f>Gen!U23</f>
        <v>3967</v>
      </c>
      <c r="T16" s="499">
        <f t="shared" si="10"/>
        <v>44543</v>
      </c>
      <c r="U16" s="457"/>
      <c r="V16" s="462">
        <f t="shared" si="4"/>
        <v>8730.1</v>
      </c>
      <c r="W16" s="761">
        <v>8732.9</v>
      </c>
      <c r="X16" s="462">
        <f t="shared" si="0"/>
        <v>559.99999999985448</v>
      </c>
      <c r="Y16" s="494">
        <f t="shared" si="11"/>
        <v>44543</v>
      </c>
      <c r="Z16" s="849"/>
      <c r="AA16" s="847">
        <f t="shared" si="13"/>
        <v>22769</v>
      </c>
      <c r="AB16" s="852">
        <f>'Water-Meter'!P18</f>
        <v>22776</v>
      </c>
      <c r="AC16" s="503">
        <f t="shared" si="5"/>
        <v>7</v>
      </c>
    </row>
    <row r="17" spans="1:29" ht="18.75" x14ac:dyDescent="0.3">
      <c r="A17" s="512">
        <f>Gen!C24</f>
        <v>0.17</v>
      </c>
      <c r="B17" s="472">
        <f>Gen!B24</f>
        <v>44544</v>
      </c>
      <c r="C17" s="457"/>
      <c r="D17" s="462">
        <f t="shared" si="12"/>
        <v>9783.2000000000007</v>
      </c>
      <c r="E17" s="857">
        <v>9783.2000000000007</v>
      </c>
      <c r="F17" s="855">
        <f t="shared" si="14"/>
        <v>251.99999999982538</v>
      </c>
      <c r="G17" s="859"/>
      <c r="H17" s="494">
        <f t="shared" si="7"/>
        <v>44544</v>
      </c>
      <c r="I17" s="457"/>
      <c r="J17" s="495">
        <f>'Water-Meter'!G19</f>
        <v>0</v>
      </c>
      <c r="K17" s="496">
        <f>'Water-Meter'!G19</f>
        <v>0</v>
      </c>
      <c r="L17" s="457">
        <f t="shared" si="2"/>
        <v>0</v>
      </c>
      <c r="M17" s="494">
        <f t="shared" si="8"/>
        <v>44544</v>
      </c>
      <c r="N17" s="457"/>
      <c r="O17" s="6"/>
      <c r="P17" s="461">
        <f>'Water-Meter'!J19</f>
        <v>8916</v>
      </c>
      <c r="Q17" s="457">
        <f t="shared" si="15"/>
        <v>0</v>
      </c>
      <c r="R17" s="497">
        <f t="shared" si="3"/>
        <v>0</v>
      </c>
      <c r="S17" s="498">
        <f>Gen!U24</f>
        <v>3411</v>
      </c>
      <c r="T17" s="499">
        <f t="shared" si="10"/>
        <v>44544</v>
      </c>
      <c r="U17" s="457"/>
      <c r="V17" s="462">
        <f t="shared" si="4"/>
        <v>8732.9</v>
      </c>
      <c r="W17" s="761">
        <v>8735.1</v>
      </c>
      <c r="X17" s="462">
        <f t="shared" si="0"/>
        <v>440.00000000014552</v>
      </c>
      <c r="Y17" s="494">
        <f t="shared" si="11"/>
        <v>44544</v>
      </c>
      <c r="Z17" s="849"/>
      <c r="AA17" s="847">
        <f t="shared" si="13"/>
        <v>22776</v>
      </c>
      <c r="AB17" s="852">
        <f>'Water-Meter'!P19</f>
        <v>22784</v>
      </c>
      <c r="AC17" s="503">
        <f t="shared" si="5"/>
        <v>8</v>
      </c>
    </row>
    <row r="18" spans="1:29" ht="18.75" x14ac:dyDescent="0.3">
      <c r="A18" s="512">
        <f>Gen!C25</f>
        <v>0.18</v>
      </c>
      <c r="B18" s="472">
        <f>Gen!B25</f>
        <v>44545</v>
      </c>
      <c r="C18" s="457"/>
      <c r="D18" s="462">
        <f t="shared" si="12"/>
        <v>9785.2999999999993</v>
      </c>
      <c r="E18" s="724">
        <v>9785.2999999999993</v>
      </c>
      <c r="F18" s="855">
        <f t="shared" si="14"/>
        <v>240</v>
      </c>
      <c r="G18" s="859"/>
      <c r="H18" s="494">
        <f t="shared" si="7"/>
        <v>44545</v>
      </c>
      <c r="I18" s="457"/>
      <c r="J18" s="495">
        <f>'Water-Meter'!G20</f>
        <v>0</v>
      </c>
      <c r="K18" s="496">
        <f>'Water-Meter'!G20</f>
        <v>0</v>
      </c>
      <c r="L18" s="457">
        <f t="shared" si="2"/>
        <v>0</v>
      </c>
      <c r="M18" s="494">
        <f t="shared" si="8"/>
        <v>44545</v>
      </c>
      <c r="N18" s="457"/>
      <c r="O18" s="6"/>
      <c r="P18" s="461">
        <f>'Water-Meter'!J20</f>
        <v>8918</v>
      </c>
      <c r="Q18" s="457">
        <f t="shared" si="15"/>
        <v>0</v>
      </c>
      <c r="R18" s="497">
        <f t="shared" si="3"/>
        <v>0</v>
      </c>
      <c r="S18" s="498">
        <f>Gen!U25</f>
        <v>3878</v>
      </c>
      <c r="T18" s="499">
        <f t="shared" si="10"/>
        <v>44545</v>
      </c>
      <c r="U18" s="457"/>
      <c r="V18" s="462">
        <f t="shared" si="4"/>
        <v>8735.1</v>
      </c>
      <c r="W18" s="761">
        <v>8736.9</v>
      </c>
      <c r="X18" s="462">
        <f t="shared" si="0"/>
        <v>359.99999999985448</v>
      </c>
      <c r="Y18" s="494">
        <f t="shared" si="11"/>
        <v>44545</v>
      </c>
      <c r="Z18" s="849"/>
      <c r="AA18" s="847">
        <f t="shared" si="13"/>
        <v>22784</v>
      </c>
      <c r="AB18" s="852">
        <f>'Water-Meter'!P20</f>
        <v>22789</v>
      </c>
      <c r="AC18" s="503">
        <f t="shared" si="5"/>
        <v>5</v>
      </c>
    </row>
    <row r="19" spans="1:29" ht="18.75" x14ac:dyDescent="0.3">
      <c r="A19" s="512">
        <f>Gen!C26</f>
        <v>0.16</v>
      </c>
      <c r="B19" s="472">
        <f>Gen!B26</f>
        <v>44546</v>
      </c>
      <c r="C19" s="460"/>
      <c r="D19" s="462">
        <f t="shared" si="12"/>
        <v>9787.2999999999993</v>
      </c>
      <c r="E19" s="857">
        <v>9787.2999999999993</v>
      </c>
      <c r="F19" s="855">
        <f t="shared" si="14"/>
        <v>264.00000000008731</v>
      </c>
      <c r="G19" s="859"/>
      <c r="H19" s="494">
        <f t="shared" si="7"/>
        <v>44546</v>
      </c>
      <c r="I19" s="460"/>
      <c r="J19" s="495">
        <f>'Water-Meter'!G21</f>
        <v>0</v>
      </c>
      <c r="K19" s="496">
        <f>'Water-Meter'!G21</f>
        <v>0</v>
      </c>
      <c r="L19" s="457">
        <f t="shared" si="2"/>
        <v>0</v>
      </c>
      <c r="M19" s="494">
        <f t="shared" si="8"/>
        <v>44546</v>
      </c>
      <c r="N19" s="460"/>
      <c r="O19" s="6"/>
      <c r="P19" s="461">
        <f>'Water-Meter'!J21</f>
        <v>8920</v>
      </c>
      <c r="Q19" s="457">
        <f t="shared" si="15"/>
        <v>0</v>
      </c>
      <c r="R19" s="497">
        <f>SUM(Q19/1615)</f>
        <v>0</v>
      </c>
      <c r="S19" s="498">
        <f>Gen!U26</f>
        <v>3906</v>
      </c>
      <c r="T19" s="499">
        <f t="shared" si="10"/>
        <v>44546</v>
      </c>
      <c r="U19" s="460"/>
      <c r="V19" s="462">
        <f t="shared" si="4"/>
        <v>8736.9</v>
      </c>
      <c r="W19" s="761">
        <v>8739.5</v>
      </c>
      <c r="X19" s="462">
        <f t="shared" si="0"/>
        <v>520.00000000007276</v>
      </c>
      <c r="Y19" s="494">
        <f t="shared" si="11"/>
        <v>44546</v>
      </c>
      <c r="Z19" s="850"/>
      <c r="AA19" s="847">
        <f t="shared" si="13"/>
        <v>22789</v>
      </c>
      <c r="AB19" s="852">
        <f>'Water-Meter'!P21</f>
        <v>22794</v>
      </c>
      <c r="AC19" s="503">
        <f t="shared" si="5"/>
        <v>5</v>
      </c>
    </row>
    <row r="20" spans="1:29" ht="18.75" x14ac:dyDescent="0.3">
      <c r="A20" s="512">
        <f>Gen!C27</f>
        <v>0.16</v>
      </c>
      <c r="B20" s="472">
        <f>Gen!B27</f>
        <v>44547</v>
      </c>
      <c r="C20" s="460"/>
      <c r="D20" s="462">
        <f t="shared" si="12"/>
        <v>9789.5</v>
      </c>
      <c r="E20" s="857">
        <v>9789.5</v>
      </c>
      <c r="F20" s="855">
        <f t="shared" si="14"/>
        <v>264.00000000008731</v>
      </c>
      <c r="G20" s="859"/>
      <c r="H20" s="494">
        <f t="shared" si="7"/>
        <v>44547</v>
      </c>
      <c r="I20" s="460"/>
      <c r="J20" s="495">
        <f>'Water-Meter'!G22</f>
        <v>0</v>
      </c>
      <c r="K20" s="496">
        <f>'Water-Meter'!G22</f>
        <v>0</v>
      </c>
      <c r="L20" s="457">
        <f t="shared" si="2"/>
        <v>0</v>
      </c>
      <c r="M20" s="494">
        <f t="shared" si="8"/>
        <v>44547</v>
      </c>
      <c r="N20" s="460"/>
      <c r="O20" s="6"/>
      <c r="P20" s="461">
        <f>'Water-Meter'!J22</f>
        <v>8922</v>
      </c>
      <c r="Q20" s="457">
        <f t="shared" si="9"/>
        <v>0</v>
      </c>
      <c r="R20" s="497">
        <f t="shared" si="3"/>
        <v>0</v>
      </c>
      <c r="S20" s="498">
        <f>Gen!U27</f>
        <v>3764</v>
      </c>
      <c r="T20" s="499">
        <f t="shared" si="10"/>
        <v>44547</v>
      </c>
      <c r="U20" s="460"/>
      <c r="V20" s="462">
        <f t="shared" si="4"/>
        <v>8739.5</v>
      </c>
      <c r="W20" s="761">
        <v>8741.7000000000007</v>
      </c>
      <c r="X20" s="462">
        <f t="shared" si="0"/>
        <v>440.00000000014552</v>
      </c>
      <c r="Y20" s="494">
        <f t="shared" si="11"/>
        <v>44547</v>
      </c>
      <c r="Z20" s="850"/>
      <c r="AA20" s="847">
        <f t="shared" si="13"/>
        <v>22794</v>
      </c>
      <c r="AB20" s="852">
        <f>'Water-Meter'!P22</f>
        <v>22798</v>
      </c>
      <c r="AC20" s="503">
        <f t="shared" si="5"/>
        <v>4</v>
      </c>
    </row>
    <row r="21" spans="1:29" ht="18.75" x14ac:dyDescent="0.3">
      <c r="A21" s="512">
        <f>Gen!C28</f>
        <v>0.13</v>
      </c>
      <c r="B21" s="472">
        <f>Gen!B28</f>
        <v>44548</v>
      </c>
      <c r="C21" s="460"/>
      <c r="D21" s="462">
        <f t="shared" si="12"/>
        <v>9791.7000000000007</v>
      </c>
      <c r="E21" s="857">
        <v>9791.7000000000007</v>
      </c>
      <c r="F21" s="855">
        <f t="shared" si="14"/>
        <v>263.99999999986903</v>
      </c>
      <c r="G21" s="859"/>
      <c r="H21" s="494">
        <f t="shared" si="7"/>
        <v>44548</v>
      </c>
      <c r="I21" s="460"/>
      <c r="J21" s="495">
        <f>'Water-Meter'!G23</f>
        <v>0</v>
      </c>
      <c r="K21" s="496">
        <f>'Water-Meter'!G23</f>
        <v>0</v>
      </c>
      <c r="L21" s="457">
        <f t="shared" si="2"/>
        <v>0</v>
      </c>
      <c r="M21" s="494">
        <f t="shared" si="8"/>
        <v>44548</v>
      </c>
      <c r="N21" s="460"/>
      <c r="O21" s="6"/>
      <c r="P21" s="461">
        <f>'Water-Meter'!J23</f>
        <v>8925</v>
      </c>
      <c r="Q21" s="457">
        <f t="shared" ref="Q21:Q35" si="16">N21-O20</f>
        <v>0</v>
      </c>
      <c r="R21" s="497">
        <f t="shared" ref="R21:R35" si="17">SUM(Q21/1615)</f>
        <v>0</v>
      </c>
      <c r="S21" s="498">
        <f>Gen!U28</f>
        <v>3882</v>
      </c>
      <c r="T21" s="499">
        <f t="shared" si="10"/>
        <v>44548</v>
      </c>
      <c r="U21" s="460"/>
      <c r="V21" s="462">
        <f t="shared" si="4"/>
        <v>8741.7000000000007</v>
      </c>
      <c r="W21" s="761">
        <v>8744</v>
      </c>
      <c r="X21" s="462">
        <f t="shared" si="0"/>
        <v>459.99999999985448</v>
      </c>
      <c r="Y21" s="494">
        <f t="shared" si="11"/>
        <v>44548</v>
      </c>
      <c r="Z21" s="850"/>
      <c r="AA21" s="847">
        <f t="shared" si="13"/>
        <v>22798</v>
      </c>
      <c r="AB21" s="852">
        <f>'Water-Meter'!P23</f>
        <v>22806</v>
      </c>
      <c r="AC21" s="503">
        <f t="shared" si="5"/>
        <v>8</v>
      </c>
    </row>
    <row r="22" spans="1:29" ht="18.75" x14ac:dyDescent="0.3">
      <c r="A22" s="512">
        <f>Gen!C29</f>
        <v>0.12</v>
      </c>
      <c r="B22" s="472">
        <f>Gen!B29</f>
        <v>44549</v>
      </c>
      <c r="C22" s="457"/>
      <c r="D22" s="462">
        <f t="shared" si="12"/>
        <v>9793.9</v>
      </c>
      <c r="E22" s="856">
        <v>9793.9</v>
      </c>
      <c r="F22" s="855">
        <f t="shared" si="14"/>
        <v>216.00000000013097</v>
      </c>
      <c r="G22" s="859"/>
      <c r="H22" s="494">
        <f t="shared" si="7"/>
        <v>44549</v>
      </c>
      <c r="I22" s="457"/>
      <c r="J22" s="495"/>
      <c r="K22" s="496">
        <f>'Water-Meter'!G24</f>
        <v>0</v>
      </c>
      <c r="L22" s="457">
        <f t="shared" si="2"/>
        <v>0</v>
      </c>
      <c r="M22" s="494">
        <f t="shared" si="8"/>
        <v>44549</v>
      </c>
      <c r="N22" s="457"/>
      <c r="O22" s="6"/>
      <c r="P22" s="461">
        <f>'Water-Meter'!J24</f>
        <v>8928</v>
      </c>
      <c r="Q22" s="457">
        <f t="shared" si="16"/>
        <v>0</v>
      </c>
      <c r="R22" s="497">
        <f t="shared" ref="R22:R28" si="18">SUM(Q22/1615)</f>
        <v>0</v>
      </c>
      <c r="S22" s="498">
        <f>Gen!U29</f>
        <v>3745</v>
      </c>
      <c r="T22" s="499">
        <f t="shared" si="10"/>
        <v>44549</v>
      </c>
      <c r="U22" s="457"/>
      <c r="V22" s="462">
        <f t="shared" si="4"/>
        <v>8744</v>
      </c>
      <c r="W22" s="761">
        <v>8746.7000000000007</v>
      </c>
      <c r="X22" s="462">
        <f t="shared" si="0"/>
        <v>540.00000000014552</v>
      </c>
      <c r="Y22" s="494">
        <f t="shared" si="11"/>
        <v>44549</v>
      </c>
      <c r="Z22" s="849"/>
      <c r="AA22" s="847">
        <f t="shared" si="13"/>
        <v>22806</v>
      </c>
      <c r="AB22" s="852">
        <f>'Water-Meter'!P24</f>
        <v>22812</v>
      </c>
      <c r="AC22" s="503">
        <f t="shared" si="5"/>
        <v>6</v>
      </c>
    </row>
    <row r="23" spans="1:29" ht="18.75" x14ac:dyDescent="0.3">
      <c r="A23" s="512">
        <f>Gen!C30</f>
        <v>0.06</v>
      </c>
      <c r="B23" s="472">
        <f>Gen!B30</f>
        <v>44550</v>
      </c>
      <c r="C23" s="460"/>
      <c r="D23" s="462">
        <f t="shared" si="12"/>
        <v>9795.7000000000007</v>
      </c>
      <c r="E23" s="856">
        <v>9795.7000000000007</v>
      </c>
      <c r="F23" s="855">
        <f t="shared" si="14"/>
        <v>227.99999999995634</v>
      </c>
      <c r="G23" s="859"/>
      <c r="H23" s="494">
        <f t="shared" si="7"/>
        <v>44550</v>
      </c>
      <c r="I23" s="460"/>
      <c r="J23" s="495">
        <f>'Water-Meter'!G25</f>
        <v>0</v>
      </c>
      <c r="K23" s="496">
        <f>'Water-Meter'!G26</f>
        <v>0</v>
      </c>
      <c r="L23" s="457">
        <f t="shared" si="2"/>
        <v>0</v>
      </c>
      <c r="M23" s="494">
        <f t="shared" si="8"/>
        <v>44550</v>
      </c>
      <c r="N23" s="460"/>
      <c r="O23" s="6"/>
      <c r="P23" s="461">
        <f>'Water-Meter'!J25</f>
        <v>8930</v>
      </c>
      <c r="Q23" s="457">
        <f t="shared" si="16"/>
        <v>0</v>
      </c>
      <c r="R23" s="497">
        <f t="shared" si="18"/>
        <v>0</v>
      </c>
      <c r="S23" s="498">
        <f>Gen!U30</f>
        <v>3257</v>
      </c>
      <c r="T23" s="499">
        <f t="shared" si="10"/>
        <v>44550</v>
      </c>
      <c r="U23" s="460"/>
      <c r="V23" s="462">
        <f t="shared" si="4"/>
        <v>8746.7000000000007</v>
      </c>
      <c r="W23" s="761">
        <v>8749.7000000000007</v>
      </c>
      <c r="X23" s="462">
        <f t="shared" si="0"/>
        <v>600</v>
      </c>
      <c r="Y23" s="494">
        <f t="shared" si="11"/>
        <v>44550</v>
      </c>
      <c r="Z23" s="850"/>
      <c r="AA23" s="847">
        <f t="shared" si="13"/>
        <v>22812</v>
      </c>
      <c r="AB23" s="852">
        <f>'Water-Meter'!P25</f>
        <v>22817</v>
      </c>
      <c r="AC23" s="503">
        <f t="shared" si="5"/>
        <v>5</v>
      </c>
    </row>
    <row r="24" spans="1:29" ht="18.75" x14ac:dyDescent="0.3">
      <c r="A24" s="512">
        <f>Gen!C31</f>
        <v>0.1</v>
      </c>
      <c r="B24" s="472">
        <f>Gen!B31</f>
        <v>44551</v>
      </c>
      <c r="C24" s="460"/>
      <c r="D24" s="462">
        <f t="shared" si="12"/>
        <v>9797.6</v>
      </c>
      <c r="E24" s="856">
        <v>9797.6</v>
      </c>
      <c r="F24" s="855">
        <f t="shared" si="14"/>
        <v>252.00000000004366</v>
      </c>
      <c r="G24" s="859"/>
      <c r="H24" s="494">
        <f t="shared" si="7"/>
        <v>44551</v>
      </c>
      <c r="I24" s="460"/>
      <c r="J24" s="495">
        <f>'Water-Meter'!G26</f>
        <v>0</v>
      </c>
      <c r="K24" s="496">
        <f>'Water-Meter'!G27</f>
        <v>0</v>
      </c>
      <c r="L24" s="457">
        <f t="shared" si="2"/>
        <v>0</v>
      </c>
      <c r="M24" s="494">
        <f t="shared" si="8"/>
        <v>44551</v>
      </c>
      <c r="N24" s="460"/>
      <c r="O24" s="6"/>
      <c r="P24" s="461">
        <f>'Water-Meter'!J26</f>
        <v>8932</v>
      </c>
      <c r="Q24" s="457">
        <f t="shared" si="16"/>
        <v>0</v>
      </c>
      <c r="R24" s="497">
        <f t="shared" si="18"/>
        <v>0</v>
      </c>
      <c r="S24" s="498">
        <f>Gen!U31</f>
        <v>4495</v>
      </c>
      <c r="T24" s="499">
        <f t="shared" si="10"/>
        <v>44551</v>
      </c>
      <c r="U24" s="460"/>
      <c r="V24" s="462">
        <f t="shared" si="4"/>
        <v>8749.7000000000007</v>
      </c>
      <c r="W24" s="761">
        <v>8752.7000000000007</v>
      </c>
      <c r="X24" s="462">
        <f t="shared" si="0"/>
        <v>600</v>
      </c>
      <c r="Y24" s="494">
        <f t="shared" si="11"/>
        <v>44551</v>
      </c>
      <c r="Z24" s="850"/>
      <c r="AA24" s="847">
        <f t="shared" si="13"/>
        <v>22817</v>
      </c>
      <c r="AB24" s="852">
        <f>'Water-Meter'!P26</f>
        <v>22822</v>
      </c>
      <c r="AC24" s="503">
        <f t="shared" si="5"/>
        <v>5</v>
      </c>
    </row>
    <row r="25" spans="1:29" ht="18.75" x14ac:dyDescent="0.3">
      <c r="A25" s="512">
        <f>Gen!C32</f>
        <v>0.17</v>
      </c>
      <c r="B25" s="472">
        <f>Gen!B32</f>
        <v>44552</v>
      </c>
      <c r="C25" s="460"/>
      <c r="D25" s="462">
        <f t="shared" si="12"/>
        <v>9799.7000000000007</v>
      </c>
      <c r="E25" s="856">
        <v>9799.7000000000007</v>
      </c>
      <c r="F25" s="855">
        <f>SUM(E26-D25)*120</f>
        <v>263.99999999986903</v>
      </c>
      <c r="G25" s="859"/>
      <c r="H25" s="494">
        <f t="shared" si="7"/>
        <v>44552</v>
      </c>
      <c r="I25" s="460"/>
      <c r="J25" s="495">
        <f>'Water-Meter'!G27</f>
        <v>0</v>
      </c>
      <c r="K25" s="496">
        <f>'Water-Meter'!G28</f>
        <v>0</v>
      </c>
      <c r="L25" s="457">
        <f t="shared" si="2"/>
        <v>0</v>
      </c>
      <c r="M25" s="494">
        <f t="shared" si="8"/>
        <v>44552</v>
      </c>
      <c r="N25" s="460"/>
      <c r="O25" s="6"/>
      <c r="P25" s="461">
        <f>'Water-Meter'!J27</f>
        <v>8936</v>
      </c>
      <c r="Q25" s="457">
        <f t="shared" si="16"/>
        <v>0</v>
      </c>
      <c r="R25" s="497">
        <f t="shared" si="18"/>
        <v>0</v>
      </c>
      <c r="S25" s="498">
        <f>Gen!U32</f>
        <v>3996</v>
      </c>
      <c r="T25" s="499">
        <f t="shared" si="10"/>
        <v>44552</v>
      </c>
      <c r="U25" s="460"/>
      <c r="V25" s="462">
        <f t="shared" si="4"/>
        <v>8752.7000000000007</v>
      </c>
      <c r="W25" s="761">
        <v>8755.6</v>
      </c>
      <c r="X25" s="462">
        <f t="shared" si="0"/>
        <v>579.99999999992724</v>
      </c>
      <c r="Y25" s="494">
        <f t="shared" si="11"/>
        <v>44552</v>
      </c>
      <c r="Z25" s="850"/>
      <c r="AA25" s="847">
        <f t="shared" si="13"/>
        <v>22822</v>
      </c>
      <c r="AB25" s="852">
        <f>'Water-Meter'!P27</f>
        <v>22829</v>
      </c>
      <c r="AC25" s="503">
        <f t="shared" si="5"/>
        <v>7</v>
      </c>
    </row>
    <row r="26" spans="1:29" ht="18.75" x14ac:dyDescent="0.3">
      <c r="A26" s="512">
        <f>Gen!C33</f>
        <v>0.17</v>
      </c>
      <c r="B26" s="472">
        <f>Gen!B33</f>
        <v>44553</v>
      </c>
      <c r="C26" s="460"/>
      <c r="D26" s="462">
        <f t="shared" si="12"/>
        <v>9801.9</v>
      </c>
      <c r="E26" s="856">
        <v>9801.9</v>
      </c>
      <c r="F26" s="862">
        <f t="shared" si="14"/>
        <v>240</v>
      </c>
      <c r="G26" s="859"/>
      <c r="H26" s="494">
        <f t="shared" si="7"/>
        <v>44553</v>
      </c>
      <c r="I26" s="460"/>
      <c r="J26" s="495">
        <f>'Water-Meter'!G28</f>
        <v>0</v>
      </c>
      <c r="K26" s="496">
        <f>'Water-Meter'!G29</f>
        <v>0</v>
      </c>
      <c r="L26" s="457">
        <f t="shared" si="2"/>
        <v>0</v>
      </c>
      <c r="M26" s="494">
        <f t="shared" si="8"/>
        <v>44553</v>
      </c>
      <c r="N26" s="460"/>
      <c r="O26" s="6"/>
      <c r="P26" s="461">
        <f>'Water-Meter'!J28</f>
        <v>8938</v>
      </c>
      <c r="Q26" s="457">
        <f t="shared" si="16"/>
        <v>0</v>
      </c>
      <c r="R26" s="497">
        <f t="shared" si="18"/>
        <v>0</v>
      </c>
      <c r="S26" s="498">
        <f>Gen!U33</f>
        <v>4192</v>
      </c>
      <c r="T26" s="499">
        <f t="shared" si="10"/>
        <v>44553</v>
      </c>
      <c r="U26" s="460"/>
      <c r="V26" s="462">
        <f t="shared" si="4"/>
        <v>8755.6</v>
      </c>
      <c r="W26" s="459">
        <v>8758.7000000000007</v>
      </c>
      <c r="X26" s="462">
        <f t="shared" si="0"/>
        <v>620.00000000007276</v>
      </c>
      <c r="Y26" s="494">
        <f t="shared" si="11"/>
        <v>44553</v>
      </c>
      <c r="Z26" s="850"/>
      <c r="AA26" s="847">
        <f t="shared" si="13"/>
        <v>22829</v>
      </c>
      <c r="AB26" s="852">
        <f>'Water-Meter'!P28</f>
        <v>22839</v>
      </c>
      <c r="AC26" s="503">
        <f t="shared" si="5"/>
        <v>10</v>
      </c>
    </row>
    <row r="27" spans="1:29" ht="18.75" x14ac:dyDescent="0.3">
      <c r="A27" s="512">
        <f>Gen!C34</f>
        <v>0.47</v>
      </c>
      <c r="B27" s="472">
        <f>Gen!B34</f>
        <v>44554</v>
      </c>
      <c r="C27" s="460"/>
      <c r="D27" s="462">
        <f t="shared" si="12"/>
        <v>9803.9</v>
      </c>
      <c r="E27" s="856">
        <v>9803.9</v>
      </c>
      <c r="F27" s="855">
        <f t="shared" si="14"/>
        <v>276.00000000013097</v>
      </c>
      <c r="G27" s="859"/>
      <c r="H27" s="494">
        <f t="shared" si="7"/>
        <v>44554</v>
      </c>
      <c r="I27" s="460"/>
      <c r="J27" s="495">
        <f>'Water-Meter'!G29</f>
        <v>0</v>
      </c>
      <c r="K27" s="496">
        <f>'Water-Meter'!G30</f>
        <v>0</v>
      </c>
      <c r="L27" s="457">
        <f t="shared" si="2"/>
        <v>0</v>
      </c>
      <c r="M27" s="494">
        <f t="shared" si="8"/>
        <v>44554</v>
      </c>
      <c r="N27" s="460"/>
      <c r="O27" s="6"/>
      <c r="P27" s="461">
        <f>'Water-Meter'!J29</f>
        <v>8941</v>
      </c>
      <c r="Q27" s="457">
        <f t="shared" si="16"/>
        <v>0</v>
      </c>
      <c r="R27" s="497">
        <f t="shared" si="18"/>
        <v>0</v>
      </c>
      <c r="S27" s="498">
        <f>Gen!U34</f>
        <v>4947</v>
      </c>
      <c r="T27" s="499">
        <f t="shared" si="10"/>
        <v>44554</v>
      </c>
      <c r="U27" s="460"/>
      <c r="V27" s="462">
        <f t="shared" si="4"/>
        <v>8758.7000000000007</v>
      </c>
      <c r="W27" s="459">
        <v>8762.7000000000007</v>
      </c>
      <c r="X27" s="462">
        <f t="shared" si="0"/>
        <v>800</v>
      </c>
      <c r="Y27" s="494">
        <f t="shared" si="11"/>
        <v>44554</v>
      </c>
      <c r="Z27" s="850"/>
      <c r="AA27" s="847">
        <f t="shared" si="13"/>
        <v>22839</v>
      </c>
      <c r="AB27" s="852">
        <f>'Water-Meter'!P29</f>
        <v>22848</v>
      </c>
      <c r="AC27" s="503">
        <f t="shared" si="5"/>
        <v>9</v>
      </c>
    </row>
    <row r="28" spans="1:29" ht="18.75" x14ac:dyDescent="0.3">
      <c r="A28" s="512">
        <f>Gen!C35</f>
        <v>0.57999999999999996</v>
      </c>
      <c r="B28" s="472">
        <f>Gen!B35</f>
        <v>44555</v>
      </c>
      <c r="C28" s="460"/>
      <c r="D28" s="462">
        <f t="shared" si="12"/>
        <v>9806.2000000000007</v>
      </c>
      <c r="E28" s="856">
        <v>9806.2000000000007</v>
      </c>
      <c r="F28" s="855">
        <f t="shared" si="14"/>
        <v>300</v>
      </c>
      <c r="G28" s="859"/>
      <c r="H28" s="494">
        <f t="shared" si="7"/>
        <v>44555</v>
      </c>
      <c r="I28" s="460"/>
      <c r="J28" s="495">
        <f>'Water-Meter'!G30</f>
        <v>0</v>
      </c>
      <c r="K28" s="496">
        <f>'Water-Meter'!G31</f>
        <v>0</v>
      </c>
      <c r="L28" s="457">
        <f t="shared" si="2"/>
        <v>0</v>
      </c>
      <c r="M28" s="494">
        <f t="shared" si="8"/>
        <v>44555</v>
      </c>
      <c r="N28" s="460"/>
      <c r="O28" s="6"/>
      <c r="P28" s="461">
        <f>'Water-Meter'!J30</f>
        <v>8944</v>
      </c>
      <c r="Q28" s="457">
        <f t="shared" si="16"/>
        <v>0</v>
      </c>
      <c r="R28" s="497">
        <f t="shared" si="18"/>
        <v>0</v>
      </c>
      <c r="S28" s="498">
        <f>Gen!U35</f>
        <v>4917</v>
      </c>
      <c r="T28" s="499">
        <f t="shared" si="10"/>
        <v>44555</v>
      </c>
      <c r="U28" s="460"/>
      <c r="V28" s="462">
        <f t="shared" si="4"/>
        <v>8762.7000000000007</v>
      </c>
      <c r="W28" s="459">
        <v>8765.6</v>
      </c>
      <c r="X28" s="462">
        <f t="shared" si="0"/>
        <v>579.99999999992724</v>
      </c>
      <c r="Y28" s="494">
        <f t="shared" si="11"/>
        <v>44555</v>
      </c>
      <c r="Z28" s="850"/>
      <c r="AA28" s="847">
        <f t="shared" si="13"/>
        <v>22848</v>
      </c>
      <c r="AB28" s="852">
        <f>'Water-Meter'!P30</f>
        <v>22861</v>
      </c>
      <c r="AC28" s="503">
        <f t="shared" si="5"/>
        <v>13</v>
      </c>
    </row>
    <row r="29" spans="1:29" ht="18.75" x14ac:dyDescent="0.3">
      <c r="A29" s="512">
        <f>Gen!C36</f>
        <v>0.43</v>
      </c>
      <c r="B29" s="472">
        <f>Gen!B36</f>
        <v>44556</v>
      </c>
      <c r="C29" s="460"/>
      <c r="D29" s="462">
        <f t="shared" si="12"/>
        <v>9808.7000000000007</v>
      </c>
      <c r="E29" s="856">
        <v>9808.7000000000007</v>
      </c>
      <c r="F29" s="855">
        <f t="shared" si="14"/>
        <v>263.99999999986903</v>
      </c>
      <c r="G29" s="859"/>
      <c r="H29" s="494">
        <f t="shared" si="7"/>
        <v>44556</v>
      </c>
      <c r="I29" s="460"/>
      <c r="J29" s="495">
        <f>'Water-Meter'!G31</f>
        <v>0</v>
      </c>
      <c r="K29" s="496">
        <f>'Water-Meter'!G32</f>
        <v>0</v>
      </c>
      <c r="L29" s="457">
        <f t="shared" si="2"/>
        <v>0</v>
      </c>
      <c r="M29" s="494">
        <f t="shared" si="8"/>
        <v>44556</v>
      </c>
      <c r="N29" s="460"/>
      <c r="O29" s="6"/>
      <c r="P29" s="461">
        <f>'Water-Meter'!J31</f>
        <v>8947</v>
      </c>
      <c r="Q29" s="457">
        <f t="shared" si="16"/>
        <v>0</v>
      </c>
      <c r="R29" s="497">
        <f t="shared" si="17"/>
        <v>0</v>
      </c>
      <c r="S29" s="498">
        <f>Gen!U36</f>
        <v>4944</v>
      </c>
      <c r="T29" s="499">
        <f t="shared" si="10"/>
        <v>44556</v>
      </c>
      <c r="U29" s="460"/>
      <c r="V29" s="462">
        <f t="shared" si="4"/>
        <v>8765.6</v>
      </c>
      <c r="W29" s="459">
        <v>8769.5</v>
      </c>
      <c r="X29" s="462">
        <f t="shared" si="0"/>
        <v>779.99999999992724</v>
      </c>
      <c r="Y29" s="494">
        <f t="shared" si="11"/>
        <v>44556</v>
      </c>
      <c r="Z29" s="850"/>
      <c r="AA29" s="847">
        <f t="shared" si="13"/>
        <v>22861</v>
      </c>
      <c r="AB29" s="852">
        <f>'Water-Meter'!P31</f>
        <v>22873</v>
      </c>
      <c r="AC29" s="503">
        <f t="shared" si="5"/>
        <v>12</v>
      </c>
    </row>
    <row r="30" spans="1:29" ht="18.75" x14ac:dyDescent="0.3">
      <c r="A30" s="512">
        <f>Gen!C37</f>
        <v>0.39</v>
      </c>
      <c r="B30" s="472">
        <f>Gen!B37</f>
        <v>44557</v>
      </c>
      <c r="C30" s="460"/>
      <c r="D30" s="462">
        <f t="shared" si="12"/>
        <v>9810.9</v>
      </c>
      <c r="E30" s="856">
        <v>9810.9</v>
      </c>
      <c r="F30" s="855">
        <f t="shared" si="14"/>
        <v>276.00000000013097</v>
      </c>
      <c r="G30" s="859"/>
      <c r="H30" s="494">
        <f t="shared" si="7"/>
        <v>44557</v>
      </c>
      <c r="I30" s="460"/>
      <c r="J30" s="495">
        <f>'Water-Meter'!G32</f>
        <v>0</v>
      </c>
      <c r="K30" s="496">
        <f>'Water-Meter'!G33</f>
        <v>0</v>
      </c>
      <c r="L30" s="457">
        <f t="shared" si="2"/>
        <v>0</v>
      </c>
      <c r="M30" s="494">
        <f t="shared" si="8"/>
        <v>44557</v>
      </c>
      <c r="N30" s="460"/>
      <c r="O30" s="6"/>
      <c r="P30" s="461">
        <f>'Water-Meter'!J32</f>
        <v>8951</v>
      </c>
      <c r="Q30" s="457">
        <f t="shared" si="16"/>
        <v>0</v>
      </c>
      <c r="R30" s="497">
        <f t="shared" si="17"/>
        <v>0</v>
      </c>
      <c r="S30" s="498">
        <f>Gen!U37</f>
        <v>5000</v>
      </c>
      <c r="T30" s="499">
        <f t="shared" si="10"/>
        <v>44557</v>
      </c>
      <c r="U30" s="460"/>
      <c r="V30" s="462">
        <f t="shared" si="4"/>
        <v>8769.5</v>
      </c>
      <c r="W30" s="459">
        <v>8774.2999999999993</v>
      </c>
      <c r="X30" s="462">
        <f t="shared" si="0"/>
        <v>959.99999999985448</v>
      </c>
      <c r="Y30" s="494">
        <f t="shared" si="11"/>
        <v>44557</v>
      </c>
      <c r="Z30" s="850"/>
      <c r="AA30" s="847">
        <f t="shared" si="13"/>
        <v>22873</v>
      </c>
      <c r="AB30" s="852">
        <f>'Water-Meter'!P32</f>
        <v>22886</v>
      </c>
      <c r="AC30" s="503">
        <f t="shared" si="5"/>
        <v>13</v>
      </c>
    </row>
    <row r="31" spans="1:29" ht="18.75" x14ac:dyDescent="0.3">
      <c r="A31" s="512">
        <f>Gen!C38</f>
        <v>0.43</v>
      </c>
      <c r="B31" s="472">
        <f>Gen!B38</f>
        <v>44558</v>
      </c>
      <c r="C31" s="460"/>
      <c r="D31" s="462">
        <f t="shared" si="12"/>
        <v>9813.2000000000007</v>
      </c>
      <c r="E31" s="856">
        <v>9813.2000000000007</v>
      </c>
      <c r="F31" s="855">
        <f t="shared" si="14"/>
        <v>203.99999999986903</v>
      </c>
      <c r="G31" s="859"/>
      <c r="H31" s="494">
        <f t="shared" si="7"/>
        <v>44558</v>
      </c>
      <c r="I31" s="460"/>
      <c r="J31" s="495">
        <f>'Water-Meter'!G33</f>
        <v>0</v>
      </c>
      <c r="K31" s="496">
        <f>'Water-Meter'!G34</f>
        <v>0</v>
      </c>
      <c r="L31" s="457">
        <f t="shared" si="2"/>
        <v>0</v>
      </c>
      <c r="M31" s="494">
        <f t="shared" si="8"/>
        <v>44558</v>
      </c>
      <c r="N31" s="460"/>
      <c r="O31" s="6"/>
      <c r="P31" s="461">
        <f>'Water-Meter'!J33</f>
        <v>8954</v>
      </c>
      <c r="Q31" s="457">
        <f t="shared" si="16"/>
        <v>0</v>
      </c>
      <c r="R31" s="497">
        <f t="shared" si="17"/>
        <v>0</v>
      </c>
      <c r="S31" s="498">
        <f>Gen!U38</f>
        <v>4676</v>
      </c>
      <c r="T31" s="499">
        <f t="shared" si="10"/>
        <v>44558</v>
      </c>
      <c r="U31" s="460"/>
      <c r="V31" s="462">
        <f t="shared" si="4"/>
        <v>8774.2999999999993</v>
      </c>
      <c r="W31" s="459">
        <v>8778.5</v>
      </c>
      <c r="X31" s="462">
        <f t="shared" si="0"/>
        <v>840.00000000014552</v>
      </c>
      <c r="Y31" s="494">
        <f>T31</f>
        <v>44558</v>
      </c>
      <c r="Z31" s="850"/>
      <c r="AA31" s="847">
        <f t="shared" si="13"/>
        <v>22886</v>
      </c>
      <c r="AB31" s="852">
        <f>'Water-Meter'!P33</f>
        <v>22895</v>
      </c>
      <c r="AC31" s="503">
        <f t="shared" si="5"/>
        <v>9</v>
      </c>
    </row>
    <row r="32" spans="1:29" ht="18.75" x14ac:dyDescent="0.3">
      <c r="A32" s="512">
        <f>Gen!C39</f>
        <v>0.53</v>
      </c>
      <c r="B32" s="472">
        <f>Gen!B39</f>
        <v>44559</v>
      </c>
      <c r="C32" s="460"/>
      <c r="D32" s="462">
        <f t="shared" si="12"/>
        <v>9814.9</v>
      </c>
      <c r="E32" s="856">
        <v>9814.9</v>
      </c>
      <c r="F32" s="855">
        <f t="shared" si="14"/>
        <v>180</v>
      </c>
      <c r="G32" s="859"/>
      <c r="H32" s="494">
        <f t="shared" si="7"/>
        <v>44559</v>
      </c>
      <c r="I32" s="460"/>
      <c r="J32" s="495">
        <f>'Water-Meter'!G34</f>
        <v>0</v>
      </c>
      <c r="K32" s="496">
        <f>'Water-Meter'!G34</f>
        <v>0</v>
      </c>
      <c r="L32" s="457">
        <f t="shared" si="2"/>
        <v>0</v>
      </c>
      <c r="M32" s="494">
        <f t="shared" si="8"/>
        <v>44559</v>
      </c>
      <c r="N32" s="460"/>
      <c r="O32" s="6"/>
      <c r="P32" s="461">
        <f>'Water-Meter'!J34</f>
        <v>8959</v>
      </c>
      <c r="Q32" s="457">
        <f t="shared" si="16"/>
        <v>0</v>
      </c>
      <c r="R32" s="497">
        <f>SUM(Q32/1615)</f>
        <v>0</v>
      </c>
      <c r="S32" s="498">
        <f>Gen!U39</f>
        <v>4892</v>
      </c>
      <c r="T32" s="499">
        <f t="shared" si="10"/>
        <v>44559</v>
      </c>
      <c r="U32" s="460"/>
      <c r="V32" s="462">
        <f t="shared" si="4"/>
        <v>8778.5</v>
      </c>
      <c r="W32" s="459">
        <v>8782.7000000000007</v>
      </c>
      <c r="X32" s="462">
        <f t="shared" si="0"/>
        <v>840.00000000014552</v>
      </c>
      <c r="Y32" s="494">
        <f t="shared" ref="Y32:Y35" si="19">T32</f>
        <v>44559</v>
      </c>
      <c r="Z32" s="850"/>
      <c r="AA32" s="847">
        <f t="shared" si="13"/>
        <v>22895</v>
      </c>
      <c r="AB32" s="852">
        <f>'Water-Meter'!P34</f>
        <v>22909</v>
      </c>
      <c r="AC32" s="503">
        <f t="shared" si="5"/>
        <v>14</v>
      </c>
    </row>
    <row r="33" spans="1:29" ht="18.75" x14ac:dyDescent="0.3">
      <c r="A33" s="512">
        <f>Gen!C40</f>
        <v>0.61</v>
      </c>
      <c r="B33" s="472">
        <f>Gen!B40</f>
        <v>44560</v>
      </c>
      <c r="C33" s="460"/>
      <c r="D33" s="462">
        <f t="shared" si="12"/>
        <v>9816.4</v>
      </c>
      <c r="E33" s="856">
        <v>9816.4</v>
      </c>
      <c r="F33" s="855">
        <f t="shared" si="14"/>
        <v>216.00000000013097</v>
      </c>
      <c r="G33" s="859"/>
      <c r="H33" s="494">
        <f t="shared" si="7"/>
        <v>44560</v>
      </c>
      <c r="I33" s="460"/>
      <c r="J33" s="495">
        <f>'Water-Meter'!G35</f>
        <v>0</v>
      </c>
      <c r="K33" s="496">
        <f>'Water-Meter'!G35</f>
        <v>0</v>
      </c>
      <c r="L33" s="457">
        <f t="shared" si="2"/>
        <v>0</v>
      </c>
      <c r="M33" s="494">
        <f t="shared" si="8"/>
        <v>44560</v>
      </c>
      <c r="N33" s="460"/>
      <c r="O33" s="6"/>
      <c r="P33" s="461">
        <f>'Water-Meter'!J35</f>
        <v>8962</v>
      </c>
      <c r="Q33" s="457">
        <f t="shared" si="16"/>
        <v>0</v>
      </c>
      <c r="R33" s="497">
        <f t="shared" si="17"/>
        <v>0</v>
      </c>
      <c r="S33" s="498">
        <f>Gen!U40</f>
        <v>4766</v>
      </c>
      <c r="T33" s="499">
        <f t="shared" si="10"/>
        <v>44560</v>
      </c>
      <c r="U33" s="460"/>
      <c r="V33" s="462">
        <f t="shared" si="4"/>
        <v>8782.7000000000007</v>
      </c>
      <c r="W33" s="459">
        <v>8787.2000000000007</v>
      </c>
      <c r="X33" s="462">
        <f t="shared" si="0"/>
        <v>900</v>
      </c>
      <c r="Y33" s="494">
        <f t="shared" si="19"/>
        <v>44560</v>
      </c>
      <c r="Z33" s="850"/>
      <c r="AA33" s="847">
        <f t="shared" si="13"/>
        <v>22909</v>
      </c>
      <c r="AB33" s="852">
        <f>'Water-Meter'!P35</f>
        <v>22919</v>
      </c>
      <c r="AC33" s="503">
        <f t="shared" si="5"/>
        <v>10</v>
      </c>
    </row>
    <row r="34" spans="1:29" ht="18.75" x14ac:dyDescent="0.3">
      <c r="A34" s="512">
        <f>Gen!C41</f>
        <v>0.61</v>
      </c>
      <c r="B34" s="472">
        <f>Gen!B41</f>
        <v>44561</v>
      </c>
      <c r="C34" s="6"/>
      <c r="D34" s="462">
        <f t="shared" si="12"/>
        <v>9818.2000000000007</v>
      </c>
      <c r="E34" s="856">
        <v>9818.2000000000007</v>
      </c>
      <c r="F34" s="855">
        <f t="shared" si="14"/>
        <v>263.99999999986903</v>
      </c>
      <c r="G34" s="16"/>
      <c r="H34" s="494">
        <f>E30</f>
        <v>9810.9</v>
      </c>
      <c r="I34" s="6"/>
      <c r="J34" s="495">
        <f>'Water-Meter'!G36</f>
        <v>0</v>
      </c>
      <c r="K34" s="496">
        <f>'Water-Meter'!G36</f>
        <v>0</v>
      </c>
      <c r="L34" s="457">
        <f t="shared" si="2"/>
        <v>0</v>
      </c>
      <c r="M34" s="494">
        <f t="shared" si="8"/>
        <v>9810.9</v>
      </c>
      <c r="N34" s="6"/>
      <c r="O34" s="6"/>
      <c r="P34" s="461">
        <f>'Water-Meter'!J36</f>
        <v>8965</v>
      </c>
      <c r="Q34" s="457">
        <f t="shared" si="16"/>
        <v>0</v>
      </c>
      <c r="R34" s="497">
        <f t="shared" si="17"/>
        <v>0</v>
      </c>
      <c r="S34" s="498">
        <f>Gen!U41</f>
        <v>4562</v>
      </c>
      <c r="T34" s="499">
        <f t="shared" si="10"/>
        <v>9810.9</v>
      </c>
      <c r="U34" s="6"/>
      <c r="V34" s="462">
        <f t="shared" ref="V34:V35" si="20">SUM(W33)</f>
        <v>8787.2000000000007</v>
      </c>
      <c r="W34" s="459">
        <v>8791.2000000000007</v>
      </c>
      <c r="X34" s="462">
        <f t="shared" si="0"/>
        <v>800</v>
      </c>
      <c r="Y34" s="494">
        <f t="shared" si="19"/>
        <v>9810.9</v>
      </c>
      <c r="Z34" s="17"/>
      <c r="AA34" s="847">
        <f t="shared" si="13"/>
        <v>22919</v>
      </c>
      <c r="AB34" s="852">
        <f>'Water-Meter'!P36</f>
        <v>22928</v>
      </c>
      <c r="AC34" s="503">
        <f t="shared" ref="AC34:AC35" si="21">AA34-AB33</f>
        <v>0</v>
      </c>
    </row>
    <row r="35" spans="1:29" ht="20.25" customHeight="1" x14ac:dyDescent="0.3">
      <c r="A35" s="513" t="e">
        <v>#REF!</v>
      </c>
      <c r="B35" s="473" t="e">
        <v>#REF!</v>
      </c>
      <c r="C35" s="7"/>
      <c r="D35" s="462">
        <f t="shared" si="12"/>
        <v>9820.4</v>
      </c>
      <c r="E35" s="861">
        <v>9820.4</v>
      </c>
      <c r="F35" s="855">
        <f t="shared" si="14"/>
        <v>-1178448</v>
      </c>
      <c r="G35" s="65"/>
      <c r="H35" s="504" t="e">
        <f>B35</f>
        <v>#REF!</v>
      </c>
      <c r="I35" s="7"/>
      <c r="J35" s="476">
        <f t="shared" ref="J35" si="22">SUM(K34)</f>
        <v>0</v>
      </c>
      <c r="K35" s="505">
        <f>'Water-Meter'!G37</f>
        <v>0</v>
      </c>
      <c r="L35" s="7">
        <f>SUM(L5:L34)</f>
        <v>0</v>
      </c>
      <c r="M35" s="504" t="e">
        <f t="shared" si="8"/>
        <v>#REF!</v>
      </c>
      <c r="N35" s="7"/>
      <c r="O35" s="476"/>
      <c r="P35" s="477">
        <f>'Water-Meter'!J37</f>
        <v>0</v>
      </c>
      <c r="Q35" s="476">
        <f t="shared" si="16"/>
        <v>0</v>
      </c>
      <c r="R35" s="506">
        <f t="shared" si="17"/>
        <v>0</v>
      </c>
      <c r="S35" s="507">
        <f>Gen!U42</f>
        <v>0</v>
      </c>
      <c r="T35" s="504" t="e">
        <f t="shared" ref="T35" si="23">M35</f>
        <v>#REF!</v>
      </c>
      <c r="U35" s="7"/>
      <c r="V35" s="474">
        <f t="shared" si="20"/>
        <v>8791.2000000000007</v>
      </c>
      <c r="W35" s="478">
        <v>8794.9</v>
      </c>
      <c r="X35" s="474">
        <f t="shared" si="0"/>
        <v>739.99999999978172</v>
      </c>
      <c r="Y35" s="504" t="e">
        <f t="shared" si="19"/>
        <v>#REF!</v>
      </c>
      <c r="Z35" s="7"/>
      <c r="AA35" s="854"/>
      <c r="AB35" s="477">
        <f>'Water-Meter'!P37</f>
        <v>0</v>
      </c>
      <c r="AC35" s="508">
        <f t="shared" si="21"/>
        <v>-22928</v>
      </c>
    </row>
    <row r="36" spans="1:29" ht="24.75" customHeight="1" x14ac:dyDescent="0.3">
      <c r="E36" s="313"/>
      <c r="F36" s="855">
        <f t="shared" si="14"/>
        <v>0</v>
      </c>
      <c r="L36" s="121"/>
      <c r="Q36" s="121"/>
      <c r="R36" s="141"/>
      <c r="X36" s="312">
        <f>SUM(X4:X6)</f>
        <v>760.00000000021828</v>
      </c>
      <c r="AC36" s="121"/>
    </row>
    <row r="37" spans="1:29" ht="12.75" customHeight="1" x14ac:dyDescent="0.3">
      <c r="E37" s="313"/>
    </row>
    <row r="38" spans="1:29" ht="12.75" customHeight="1" x14ac:dyDescent="0.2">
      <c r="E38" s="141"/>
      <c r="K38" s="141"/>
      <c r="W38" s="141"/>
      <c r="AB38" s="141"/>
    </row>
    <row r="39" spans="1:29" ht="12.75" customHeight="1" x14ac:dyDescent="0.3">
      <c r="E39" s="313"/>
    </row>
    <row r="40" spans="1:29" ht="12.75" customHeight="1" x14ac:dyDescent="0.2">
      <c r="D40" s="121"/>
      <c r="E40" s="141"/>
      <c r="V40" s="121"/>
      <c r="W40" s="141"/>
    </row>
    <row r="41" spans="1:29" ht="12.75" customHeight="1" x14ac:dyDescent="0.3">
      <c r="E41" s="313"/>
    </row>
    <row r="42" spans="1:29" ht="12.75" customHeight="1" x14ac:dyDescent="0.2">
      <c r="C42" s="142"/>
      <c r="E42" s="141"/>
      <c r="U42" s="142"/>
    </row>
    <row r="43" spans="1:29" ht="18.75" x14ac:dyDescent="0.3">
      <c r="E43" s="313"/>
    </row>
    <row r="44" spans="1:29" x14ac:dyDescent="0.2">
      <c r="E44" s="141"/>
    </row>
    <row r="45" spans="1:29" ht="18.75" x14ac:dyDescent="0.3">
      <c r="E45" s="313"/>
    </row>
    <row r="46" spans="1:29" x14ac:dyDescent="0.2">
      <c r="E46" s="141"/>
    </row>
    <row r="47" spans="1:29" ht="18.75" x14ac:dyDescent="0.3">
      <c r="E47" s="313"/>
    </row>
    <row r="48" spans="1:29" x14ac:dyDescent="0.2">
      <c r="E48" s="141"/>
    </row>
    <row r="49" spans="5:5" ht="18.75" x14ac:dyDescent="0.3">
      <c r="E49" s="313"/>
    </row>
    <row r="50" spans="5:5" x14ac:dyDescent="0.2">
      <c r="E50" s="141"/>
    </row>
    <row r="51" spans="5:5" ht="18.75" x14ac:dyDescent="0.3">
      <c r="E51" s="313"/>
    </row>
    <row r="52" spans="5:5" x14ac:dyDescent="0.2">
      <c r="E52" s="141"/>
    </row>
    <row r="53" spans="5:5" ht="18.75" x14ac:dyDescent="0.3">
      <c r="E53" s="313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honeticPr fontId="74" type="noConversion"/>
  <pageMargins left="0.7" right="0.7" top="0.75" bottom="0.75" header="0.3" footer="0.3"/>
  <pageSetup paperSize="9"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K74"/>
  <sheetViews>
    <sheetView topLeftCell="A4" zoomScalePageLayoutView="85" workbookViewId="0">
      <pane xSplit="1" topLeftCell="B1" activePane="topRight" state="frozen"/>
      <selection pane="topRight" activeCell="H26" sqref="H26"/>
    </sheetView>
  </sheetViews>
  <sheetFormatPr defaultRowHeight="12.75" x14ac:dyDescent="0.2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11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.28515625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 x14ac:dyDescent="0.25">
      <c r="A1" s="925">
        <f>A6</f>
        <v>44531</v>
      </c>
      <c r="B1" s="926"/>
      <c r="C1" s="926"/>
      <c r="D1" s="926"/>
      <c r="E1" s="926"/>
      <c r="F1" s="926"/>
      <c r="G1" s="926"/>
      <c r="H1" s="926"/>
      <c r="I1" s="926"/>
      <c r="J1" s="926"/>
      <c r="K1" s="926"/>
      <c r="L1" s="926"/>
      <c r="M1" s="926"/>
      <c r="N1" s="926"/>
      <c r="O1" s="926"/>
      <c r="P1" s="926"/>
      <c r="Q1" s="926"/>
      <c r="R1" s="926"/>
      <c r="S1" s="926"/>
      <c r="T1" s="926"/>
      <c r="U1" s="926"/>
      <c r="V1" s="926"/>
      <c r="W1" s="926"/>
      <c r="X1" s="926"/>
      <c r="Y1" s="926"/>
      <c r="Z1" s="926"/>
      <c r="AA1" s="926"/>
      <c r="AB1" s="926"/>
      <c r="AC1" s="926"/>
      <c r="AD1" s="926"/>
      <c r="AE1" s="926"/>
      <c r="AF1" s="926"/>
      <c r="AG1" s="926"/>
      <c r="AH1" s="926"/>
      <c r="AI1" s="926"/>
      <c r="AJ1" s="926"/>
      <c r="AK1" s="927"/>
    </row>
    <row r="2" spans="1:37" ht="61.5" customHeight="1" thickBot="1" x14ac:dyDescent="0.25">
      <c r="A2" s="118" t="s">
        <v>63</v>
      </c>
      <c r="B2" s="928" t="s">
        <v>64</v>
      </c>
      <c r="C2" s="929"/>
      <c r="D2" s="930"/>
      <c r="E2" s="119"/>
      <c r="F2" s="119"/>
      <c r="G2" s="119"/>
      <c r="H2" s="116" t="s">
        <v>65</v>
      </c>
      <c r="I2" s="599" t="s">
        <v>66</v>
      </c>
      <c r="J2" s="601" t="s">
        <v>67</v>
      </c>
      <c r="K2" s="602"/>
      <c r="L2" s="603" t="s">
        <v>68</v>
      </c>
      <c r="M2" s="754" t="s">
        <v>69</v>
      </c>
      <c r="N2" s="234" t="s">
        <v>70</v>
      </c>
      <c r="O2" s="918" t="s">
        <v>71</v>
      </c>
      <c r="P2" s="918"/>
      <c r="Q2" s="918"/>
      <c r="R2" s="918"/>
      <c r="S2" s="918"/>
      <c r="T2" s="918"/>
      <c r="U2" s="918"/>
      <c r="V2" s="918"/>
      <c r="W2" s="918"/>
      <c r="X2" s="918"/>
      <c r="Y2" s="918"/>
      <c r="Z2" s="918"/>
      <c r="AA2" s="234" t="s">
        <v>72</v>
      </c>
      <c r="AB2" s="928" t="s">
        <v>73</v>
      </c>
      <c r="AC2" s="930"/>
      <c r="AD2" s="115">
        <v>0</v>
      </c>
      <c r="AE2" s="320" t="s">
        <v>74</v>
      </c>
      <c r="AF2" s="120" t="s">
        <v>75</v>
      </c>
      <c r="AG2" s="116" t="s">
        <v>76</v>
      </c>
      <c r="AH2" s="120" t="s">
        <v>77</v>
      </c>
      <c r="AI2" s="116" t="s">
        <v>78</v>
      </c>
      <c r="AJ2" s="117" t="s">
        <v>79</v>
      </c>
      <c r="AK2" s="116" t="s">
        <v>80</v>
      </c>
    </row>
    <row r="3" spans="1:37" ht="44.25" customHeight="1" x14ac:dyDescent="0.25">
      <c r="A3" s="123" t="s">
        <v>81</v>
      </c>
      <c r="B3" s="124">
        <v>1640</v>
      </c>
      <c r="C3" s="122" t="s">
        <v>82</v>
      </c>
      <c r="D3" s="124">
        <v>2175</v>
      </c>
      <c r="E3" s="125"/>
      <c r="F3" s="931">
        <f>SUM(D3/B3)</f>
        <v>1.3262195121951219</v>
      </c>
      <c r="G3" s="932"/>
      <c r="H3" s="108">
        <f>Gen!D11</f>
        <v>43219.56</v>
      </c>
      <c r="I3" s="755"/>
      <c r="J3" s="604"/>
      <c r="K3" s="605" t="s">
        <v>83</v>
      </c>
      <c r="L3" s="604"/>
      <c r="M3" s="493" t="s">
        <v>84</v>
      </c>
      <c r="N3" s="604"/>
      <c r="O3" s="918" t="s">
        <v>85</v>
      </c>
      <c r="P3" s="918"/>
      <c r="Q3" s="918"/>
      <c r="R3" s="918"/>
      <c r="S3" s="919" t="s">
        <v>86</v>
      </c>
      <c r="T3" s="920"/>
      <c r="U3" s="920"/>
      <c r="V3" s="921"/>
      <c r="W3" s="922" t="s">
        <v>87</v>
      </c>
      <c r="X3" s="923"/>
      <c r="Y3" s="923"/>
      <c r="Z3" s="924"/>
      <c r="AA3" s="236" t="s">
        <v>88</v>
      </c>
      <c r="AB3" s="107" t="s">
        <v>84</v>
      </c>
      <c r="AD3" s="107">
        <v>0</v>
      </c>
      <c r="AE3" s="107" t="s">
        <v>89</v>
      </c>
      <c r="AF3" s="593" t="s">
        <v>90</v>
      </c>
      <c r="AG3" s="594" t="s">
        <v>90</v>
      </c>
      <c r="AH3" s="320" t="s">
        <v>90</v>
      </c>
      <c r="AI3" s="115" t="s">
        <v>91</v>
      </c>
      <c r="AJ3" s="595" t="s">
        <v>88</v>
      </c>
      <c r="AK3" s="596" t="s">
        <v>88</v>
      </c>
    </row>
    <row r="4" spans="1:37" ht="60" x14ac:dyDescent="0.2">
      <c r="A4" s="147"/>
      <c r="B4" s="148" t="s">
        <v>92</v>
      </c>
      <c r="C4" s="149" t="s">
        <v>37</v>
      </c>
      <c r="D4" s="150" t="s">
        <v>93</v>
      </c>
      <c r="E4" s="151"/>
      <c r="F4" s="151" t="s">
        <v>94</v>
      </c>
      <c r="G4" s="151" t="s">
        <v>95</v>
      </c>
      <c r="H4" s="152"/>
      <c r="I4" s="600"/>
      <c r="J4" s="614"/>
      <c r="K4" s="239"/>
      <c r="L4" s="603"/>
      <c r="M4" s="606"/>
      <c r="N4" s="234"/>
      <c r="O4" s="607" t="s">
        <v>96</v>
      </c>
      <c r="P4" s="238" t="s">
        <v>97</v>
      </c>
      <c r="Q4" s="238" t="s">
        <v>98</v>
      </c>
      <c r="R4" s="150" t="s">
        <v>99</v>
      </c>
      <c r="S4" s="237" t="s">
        <v>96</v>
      </c>
      <c r="T4" s="238" t="s">
        <v>97</v>
      </c>
      <c r="U4" s="238" t="s">
        <v>98</v>
      </c>
      <c r="V4" s="788" t="s">
        <v>99</v>
      </c>
      <c r="W4" s="785" t="s">
        <v>96</v>
      </c>
      <c r="X4" s="786" t="s">
        <v>100</v>
      </c>
      <c r="Y4" s="786" t="s">
        <v>98</v>
      </c>
      <c r="Z4" s="787" t="s">
        <v>99</v>
      </c>
      <c r="AA4" s="240" t="s">
        <v>101</v>
      </c>
      <c r="AB4" s="155"/>
      <c r="AC4" s="153" t="s">
        <v>101</v>
      </c>
      <c r="AD4" s="155"/>
      <c r="AE4" s="153" t="s">
        <v>101</v>
      </c>
      <c r="AF4" s="597">
        <v>2000</v>
      </c>
      <c r="AG4" s="598">
        <v>1000</v>
      </c>
      <c r="AH4" s="754">
        <v>1000</v>
      </c>
      <c r="AI4" s="107" t="e" vm="1">
        <v>#VALUE!</v>
      </c>
      <c r="AJ4" s="756" t="s">
        <v>102</v>
      </c>
      <c r="AK4" s="107" t="s">
        <v>101</v>
      </c>
    </row>
    <row r="5" spans="1:37" ht="18.75" x14ac:dyDescent="0.25">
      <c r="A5" s="609"/>
      <c r="B5" s="617"/>
      <c r="C5" s="618"/>
      <c r="D5" s="619"/>
      <c r="E5" s="619"/>
      <c r="F5" s="619"/>
      <c r="G5" s="619"/>
      <c r="H5" s="620"/>
      <c r="I5" s="620"/>
      <c r="J5" s="555"/>
      <c r="K5" s="571"/>
      <c r="L5" s="109"/>
      <c r="M5" s="382"/>
      <c r="N5" s="608"/>
      <c r="O5" s="554"/>
      <c r="P5" s="688">
        <v>19136</v>
      </c>
      <c r="Q5" s="581"/>
      <c r="R5" s="571"/>
      <c r="S5" s="554"/>
      <c r="T5" s="560">
        <v>20105</v>
      </c>
      <c r="U5" s="554"/>
      <c r="V5" s="571"/>
      <c r="W5" s="789"/>
      <c r="X5" s="763">
        <v>29498</v>
      </c>
      <c r="Y5" s="789"/>
      <c r="Z5" s="790"/>
      <c r="AA5" s="568"/>
      <c r="AB5" s="567">
        <v>19032</v>
      </c>
      <c r="AC5" s="554"/>
      <c r="AD5" s="687">
        <v>226990</v>
      </c>
      <c r="AE5" s="556"/>
      <c r="AF5" s="574">
        <v>0.85</v>
      </c>
      <c r="AG5" s="575">
        <v>0.85</v>
      </c>
      <c r="AH5" s="588">
        <v>0.85</v>
      </c>
      <c r="AI5" s="578"/>
      <c r="AJ5" s="568"/>
      <c r="AK5" s="568"/>
    </row>
    <row r="6" spans="1:37" ht="18.75" x14ac:dyDescent="0.3">
      <c r="A6" s="610">
        <f>Gen!B11</f>
        <v>44531</v>
      </c>
      <c r="B6" s="344">
        <f>'Summery Report'!E5</f>
        <v>6</v>
      </c>
      <c r="C6" s="615">
        <f>Gen!C11</f>
        <v>5.1900000000000002E-2</v>
      </c>
      <c r="D6" s="577">
        <f>'Summery Report'!E5</f>
        <v>6</v>
      </c>
      <c r="E6" s="577">
        <f>SUM(F3)</f>
        <v>1.3262195121951219</v>
      </c>
      <c r="F6" s="353">
        <f>SUM(J6*E6)/D6</f>
        <v>691.84451219512187</v>
      </c>
      <c r="G6" s="353">
        <f t="shared" ref="G6:G36" si="0">SUM(L6*E6)/D6</f>
        <v>691.84451219512187</v>
      </c>
      <c r="H6" s="577">
        <f>Gen!D11</f>
        <v>43219.56</v>
      </c>
      <c r="I6" s="577">
        <f>Gen!F11</f>
        <v>0</v>
      </c>
      <c r="J6" s="616">
        <f>Gen!U11</f>
        <v>3130</v>
      </c>
      <c r="K6" s="621">
        <f>Gen!AL11</f>
        <v>0</v>
      </c>
      <c r="L6" s="612">
        <f t="shared" ref="L6:L13" si="1">SUM(J6:K6)</f>
        <v>3130</v>
      </c>
      <c r="M6" s="362">
        <f>'Water-Meter'!K46</f>
        <v>579.88444988218134</v>
      </c>
      <c r="N6" s="572">
        <f>'Water-Meter'!E6</f>
        <v>79</v>
      </c>
      <c r="O6" s="554"/>
      <c r="P6" s="688">
        <v>19136</v>
      </c>
      <c r="Q6" s="582">
        <f t="shared" ref="Q6:Q36" si="2">SUM(P6-P5)</f>
        <v>0</v>
      </c>
      <c r="R6" s="345">
        <f>SUM(Q6*O6)</f>
        <v>0</v>
      </c>
      <c r="S6" s="554">
        <v>7</v>
      </c>
      <c r="T6" s="560">
        <v>20110</v>
      </c>
      <c r="U6" s="582">
        <f t="shared" ref="U6:U36" si="3">T6-T5</f>
        <v>5</v>
      </c>
      <c r="V6" s="346">
        <f t="shared" ref="V6:V10" si="4">SUM(U6*S7)</f>
        <v>35</v>
      </c>
      <c r="W6" s="554"/>
      <c r="X6" s="763">
        <v>29498</v>
      </c>
      <c r="Y6" s="582">
        <f>X6-X5</f>
        <v>0</v>
      </c>
      <c r="Z6" s="566">
        <f t="shared" ref="Z6:AA6" si="5">Y6-Y5</f>
        <v>0</v>
      </c>
      <c r="AA6" s="569">
        <f t="shared" si="5"/>
        <v>0</v>
      </c>
      <c r="AB6" s="567">
        <v>19067</v>
      </c>
      <c r="AC6" s="552">
        <f>AB6-AB5</f>
        <v>35</v>
      </c>
      <c r="AD6" s="687">
        <v>227063</v>
      </c>
      <c r="AE6" s="154">
        <f>AD6-AD5</f>
        <v>73</v>
      </c>
      <c r="AF6" s="576">
        <f>'Lpg (2)'!B10*2000/85</f>
        <v>2000</v>
      </c>
      <c r="AG6" s="222">
        <f>'Lpg (2)'!C10*1000/85</f>
        <v>988.23529411764707</v>
      </c>
      <c r="AH6" s="589">
        <f>'Lpg (2)'!D10*1000/85</f>
        <v>0</v>
      </c>
      <c r="AI6" s="579">
        <f>SUM(AF6*2000)+(AG6*1000)+(AH6*1000)</f>
        <v>4988235.2941176472</v>
      </c>
      <c r="AJ6" s="347">
        <f t="shared" ref="AJ6:AJ36" si="6">SUM(AI5-AI6)</f>
        <v>-4988235.2941176472</v>
      </c>
      <c r="AK6" s="113"/>
    </row>
    <row r="7" spans="1:37" ht="18.75" x14ac:dyDescent="0.3">
      <c r="A7" s="610">
        <f>Gen!B12</f>
        <v>44532</v>
      </c>
      <c r="B7" s="344">
        <f>'Summery Report'!E6</f>
        <v>5</v>
      </c>
      <c r="C7" s="615">
        <f>Gen!C12</f>
        <v>0.05</v>
      </c>
      <c r="D7" s="577">
        <f>'Summery Report'!E6</f>
        <v>5</v>
      </c>
      <c r="E7" s="577">
        <f>SUM(E6)</f>
        <v>1.3262195121951219</v>
      </c>
      <c r="F7" s="353">
        <f>SUM(J7*E7)/D7</f>
        <v>823.58231707317066</v>
      </c>
      <c r="G7" s="353">
        <f t="shared" si="0"/>
        <v>823.58231707317066</v>
      </c>
      <c r="H7" s="577">
        <f>Gen!D12</f>
        <v>41823.56</v>
      </c>
      <c r="I7" s="577">
        <f>Gen!F12</f>
        <v>0</v>
      </c>
      <c r="J7" s="616">
        <f>Gen!U12</f>
        <v>3105</v>
      </c>
      <c r="K7" s="621">
        <f>Gen!AL12</f>
        <v>0</v>
      </c>
      <c r="L7" s="612">
        <f t="shared" si="1"/>
        <v>3105</v>
      </c>
      <c r="M7" s="362">
        <f>'Water-Meter'!K47</f>
        <v>574.08186315432351</v>
      </c>
      <c r="N7" s="572">
        <f>'Water-Meter'!E7</f>
        <v>67</v>
      </c>
      <c r="O7" s="554"/>
      <c r="P7" s="688">
        <v>19136</v>
      </c>
      <c r="Q7" s="582">
        <f t="shared" si="2"/>
        <v>0</v>
      </c>
      <c r="R7" s="345">
        <f t="shared" ref="R7:R36" si="7">SUM(Q7*O7)</f>
        <v>0</v>
      </c>
      <c r="S7" s="554">
        <v>7</v>
      </c>
      <c r="T7" s="560">
        <v>20119</v>
      </c>
      <c r="U7" s="582">
        <f t="shared" si="3"/>
        <v>9</v>
      </c>
      <c r="V7" s="346">
        <f t="shared" si="4"/>
        <v>63</v>
      </c>
      <c r="W7" s="554"/>
      <c r="X7" s="763">
        <v>29498</v>
      </c>
      <c r="Y7" s="582">
        <f t="shared" ref="Y7:Y21" si="8">X7-X6</f>
        <v>0</v>
      </c>
      <c r="Z7" s="563">
        <f t="shared" ref="Z7:Z36" si="9">SUM(Y7*W7)</f>
        <v>0</v>
      </c>
      <c r="AA7" s="570">
        <f t="shared" ref="AA7:AA36" si="10">SUM(Z7*X9)</f>
        <v>0</v>
      </c>
      <c r="AB7" s="567">
        <v>19128</v>
      </c>
      <c r="AC7" s="552">
        <f t="shared" ref="AC7:AC27" si="11">AB7-AB6</f>
        <v>61</v>
      </c>
      <c r="AD7" s="687">
        <v>227132</v>
      </c>
      <c r="AE7" s="154">
        <f>AD7-AD6</f>
        <v>69</v>
      </c>
      <c r="AF7" s="576">
        <f>'Lpg (2)'!B11*2000/85</f>
        <v>2000</v>
      </c>
      <c r="AG7" s="222">
        <f>'Lpg (2)'!C11*1000/85</f>
        <v>941.17647058823525</v>
      </c>
      <c r="AH7" s="589">
        <f>'Lpg (2)'!D11*1000/85</f>
        <v>0</v>
      </c>
      <c r="AI7" s="579">
        <f t="shared" ref="AI7:AI14" si="12">SUM(AF6*2000)+(AG7*1000)+(AH7*1000)</f>
        <v>4941176.4705882352</v>
      </c>
      <c r="AJ7" s="347">
        <f t="shared" si="6"/>
        <v>47058.823529412039</v>
      </c>
      <c r="AK7" s="113"/>
    </row>
    <row r="8" spans="1:37" ht="18.75" x14ac:dyDescent="0.3">
      <c r="A8" s="610">
        <f>Gen!B13</f>
        <v>44533</v>
      </c>
      <c r="B8" s="344">
        <f>'Summery Report'!E7</f>
        <v>3</v>
      </c>
      <c r="C8" s="615">
        <f>Gen!C13</f>
        <v>0.05</v>
      </c>
      <c r="D8" s="577">
        <f>'Summery Report'!E7</f>
        <v>3</v>
      </c>
      <c r="E8" s="577">
        <f t="shared" ref="E8:E36" si="13">SUM(E7)</f>
        <v>1.3262195121951219</v>
      </c>
      <c r="F8" s="353">
        <f t="shared" ref="F8:F36" si="14">SUM(J8*E8)/D8</f>
        <v>1286.4329268292684</v>
      </c>
      <c r="G8" s="353">
        <f t="shared" si="0"/>
        <v>1286.4329268292684</v>
      </c>
      <c r="H8" s="577">
        <f>Gen!D13</f>
        <v>39958.71</v>
      </c>
      <c r="I8" s="577">
        <f>Gen!F13</f>
        <v>0</v>
      </c>
      <c r="J8" s="616">
        <f>Gen!U13</f>
        <v>2910</v>
      </c>
      <c r="K8" s="621">
        <f>Gen!AL13</f>
        <v>0</v>
      </c>
      <c r="L8" s="612">
        <f t="shared" si="1"/>
        <v>2910</v>
      </c>
      <c r="M8" s="362">
        <f>'Water-Meter'!K48</f>
        <v>554.48732450189027</v>
      </c>
      <c r="N8" s="572">
        <f>'Water-Meter'!E8</f>
        <v>83</v>
      </c>
      <c r="O8" s="554"/>
      <c r="P8" s="688">
        <v>19136</v>
      </c>
      <c r="Q8" s="582">
        <f t="shared" si="2"/>
        <v>0</v>
      </c>
      <c r="R8" s="345">
        <f t="shared" si="7"/>
        <v>0</v>
      </c>
      <c r="S8" s="554">
        <v>7</v>
      </c>
      <c r="T8" s="560">
        <v>20126</v>
      </c>
      <c r="U8" s="582">
        <f t="shared" si="3"/>
        <v>7</v>
      </c>
      <c r="V8" s="346">
        <f t="shared" si="4"/>
        <v>49</v>
      </c>
      <c r="W8" s="554"/>
      <c r="X8" s="763">
        <v>29498</v>
      </c>
      <c r="Y8" s="582">
        <f t="shared" si="8"/>
        <v>0</v>
      </c>
      <c r="Z8" s="563">
        <f t="shared" si="9"/>
        <v>0</v>
      </c>
      <c r="AA8" s="570">
        <f t="shared" si="10"/>
        <v>0</v>
      </c>
      <c r="AB8" s="567">
        <v>19178</v>
      </c>
      <c r="AC8" s="552">
        <f t="shared" si="11"/>
        <v>50</v>
      </c>
      <c r="AD8" s="687">
        <v>227202</v>
      </c>
      <c r="AE8" s="154">
        <f t="shared" ref="AE8:AE14" si="15">AD8-AD7</f>
        <v>70</v>
      </c>
      <c r="AF8" s="576">
        <f>'Lpg (2)'!B12*2000/85</f>
        <v>2000</v>
      </c>
      <c r="AG8" s="222">
        <f>'Lpg (2)'!C12*1000/85</f>
        <v>870.58823529411768</v>
      </c>
      <c r="AH8" s="589">
        <f>'Lpg (2)'!D12*1000/85</f>
        <v>0</v>
      </c>
      <c r="AI8" s="579">
        <f t="shared" si="12"/>
        <v>4870588.2352941176</v>
      </c>
      <c r="AJ8" s="347">
        <f t="shared" si="6"/>
        <v>70588.235294117592</v>
      </c>
      <c r="AK8" s="113"/>
    </row>
    <row r="9" spans="1:37" ht="18.75" x14ac:dyDescent="0.3">
      <c r="A9" s="610">
        <f>Gen!B14</f>
        <v>44534</v>
      </c>
      <c r="B9" s="344">
        <f>'Summery Report'!E8</f>
        <v>8</v>
      </c>
      <c r="C9" s="615">
        <f>Gen!C14</f>
        <v>0.08</v>
      </c>
      <c r="D9" s="577">
        <f>'Summery Report'!E8</f>
        <v>8</v>
      </c>
      <c r="E9" s="577">
        <f t="shared" si="13"/>
        <v>1.3262195121951219</v>
      </c>
      <c r="F9" s="353">
        <f t="shared" si="14"/>
        <v>545.24199695121945</v>
      </c>
      <c r="G9" s="353">
        <f t="shared" si="0"/>
        <v>545.24199695121945</v>
      </c>
      <c r="H9" s="577">
        <f>Gen!D14</f>
        <v>38781.54</v>
      </c>
      <c r="I9" s="577">
        <f>Gen!F14</f>
        <v>0</v>
      </c>
      <c r="J9" s="616">
        <f>Gen!U14</f>
        <v>3289</v>
      </c>
      <c r="K9" s="621">
        <f>Gen!AL14</f>
        <v>0</v>
      </c>
      <c r="L9" s="612">
        <f t="shared" si="1"/>
        <v>3289</v>
      </c>
      <c r="M9" s="362">
        <f>'Water-Meter'!K49</f>
        <v>534.16707738750711</v>
      </c>
      <c r="N9" s="572">
        <f>'Water-Meter'!E9</f>
        <v>67</v>
      </c>
      <c r="O9" s="554"/>
      <c r="P9" s="688">
        <v>19136</v>
      </c>
      <c r="Q9" s="582">
        <f>SUM(P9-P7)</f>
        <v>0</v>
      </c>
      <c r="R9" s="345">
        <f t="shared" si="7"/>
        <v>0</v>
      </c>
      <c r="S9" s="554">
        <v>7</v>
      </c>
      <c r="T9" s="560">
        <v>20138</v>
      </c>
      <c r="U9" s="582">
        <f t="shared" si="3"/>
        <v>12</v>
      </c>
      <c r="V9" s="346">
        <f t="shared" si="4"/>
        <v>84</v>
      </c>
      <c r="W9" s="554"/>
      <c r="X9" s="763">
        <v>29498</v>
      </c>
      <c r="Y9" s="582">
        <f t="shared" si="8"/>
        <v>0</v>
      </c>
      <c r="Z9" s="563">
        <f>SUM(Y9*W11)</f>
        <v>0</v>
      </c>
      <c r="AA9" s="570">
        <f t="shared" si="10"/>
        <v>0</v>
      </c>
      <c r="AB9" s="567">
        <v>19267</v>
      </c>
      <c r="AC9" s="552">
        <f t="shared" si="11"/>
        <v>89</v>
      </c>
      <c r="AD9" s="687">
        <v>227265</v>
      </c>
      <c r="AE9" s="154">
        <f t="shared" si="15"/>
        <v>63</v>
      </c>
      <c r="AF9" s="576">
        <f>'Lpg (2)'!B13*2000/85</f>
        <v>2000</v>
      </c>
      <c r="AG9" s="222">
        <f>'Lpg (2)'!C13*1000/85</f>
        <v>764.70588235294122</v>
      </c>
      <c r="AH9" s="589">
        <f>'Lpg (2)'!D13*1000/85</f>
        <v>0</v>
      </c>
      <c r="AI9" s="579">
        <f t="shared" si="12"/>
        <v>4764705.8823529407</v>
      </c>
      <c r="AJ9" s="347">
        <f t="shared" si="6"/>
        <v>105882.35294117685</v>
      </c>
      <c r="AK9" s="113"/>
    </row>
    <row r="10" spans="1:37" ht="18.75" x14ac:dyDescent="0.3">
      <c r="A10" s="610">
        <f>Gen!B15</f>
        <v>44535</v>
      </c>
      <c r="B10" s="344">
        <f>'Summery Report'!E9</f>
        <v>6</v>
      </c>
      <c r="C10" s="615">
        <f>Gen!C15</f>
        <v>0.05</v>
      </c>
      <c r="D10" s="577">
        <f>'Summery Report'!E9</f>
        <v>6</v>
      </c>
      <c r="E10" s="577">
        <f t="shared" si="13"/>
        <v>1.3262195121951219</v>
      </c>
      <c r="F10" s="353">
        <f t="shared" si="14"/>
        <v>695.38109756097549</v>
      </c>
      <c r="G10" s="353">
        <f t="shared" si="0"/>
        <v>695.38109756097549</v>
      </c>
      <c r="H10" s="577">
        <f>Gen!D15</f>
        <v>37288.81</v>
      </c>
      <c r="I10" s="577">
        <f>Gen!F15</f>
        <v>0</v>
      </c>
      <c r="J10" s="616">
        <f>Gen!U15</f>
        <v>3146</v>
      </c>
      <c r="K10" s="621">
        <f>Gen!AL15</f>
        <v>0</v>
      </c>
      <c r="L10" s="612">
        <f t="shared" si="1"/>
        <v>3146</v>
      </c>
      <c r="M10" s="362">
        <f>'Water-Meter'!K50</f>
        <v>517.28553724735502</v>
      </c>
      <c r="N10" s="572">
        <f>'Water-Meter'!E10</f>
        <v>62</v>
      </c>
      <c r="O10" s="554"/>
      <c r="P10" s="688">
        <v>19136</v>
      </c>
      <c r="Q10" s="582">
        <f>SUM(P10-P9)</f>
        <v>0</v>
      </c>
      <c r="R10" s="345">
        <f t="shared" si="7"/>
        <v>0</v>
      </c>
      <c r="S10" s="554">
        <v>7</v>
      </c>
      <c r="T10" s="560">
        <v>20154</v>
      </c>
      <c r="U10" s="582">
        <f t="shared" si="3"/>
        <v>16</v>
      </c>
      <c r="V10" s="346">
        <f t="shared" si="4"/>
        <v>112</v>
      </c>
      <c r="W10" s="554"/>
      <c r="X10" s="763">
        <v>29498</v>
      </c>
      <c r="Y10" s="582">
        <f t="shared" si="8"/>
        <v>0</v>
      </c>
      <c r="Z10" s="563">
        <f t="shared" si="9"/>
        <v>0</v>
      </c>
      <c r="AA10" s="570">
        <f t="shared" si="10"/>
        <v>0</v>
      </c>
      <c r="AB10" s="567">
        <v>19370</v>
      </c>
      <c r="AC10" s="552">
        <f t="shared" si="11"/>
        <v>103</v>
      </c>
      <c r="AD10" s="687">
        <v>227312</v>
      </c>
      <c r="AE10" s="154">
        <f t="shared" si="15"/>
        <v>47</v>
      </c>
      <c r="AF10" s="576">
        <f>'Lpg (2)'!B14*2000/85</f>
        <v>2000</v>
      </c>
      <c r="AG10" s="222">
        <f>'Lpg (2)'!C14*1000/85</f>
        <v>647.05882352941171</v>
      </c>
      <c r="AH10" s="589">
        <f>'Lpg (2)'!D14*1000/85</f>
        <v>0</v>
      </c>
      <c r="AI10" s="579">
        <f t="shared" si="12"/>
        <v>4647058.823529412</v>
      </c>
      <c r="AJ10" s="347">
        <f t="shared" si="6"/>
        <v>117647.0588235287</v>
      </c>
      <c r="AK10" s="113"/>
    </row>
    <row r="11" spans="1:37" ht="18.75" x14ac:dyDescent="0.3">
      <c r="A11" s="610">
        <f>Gen!B16</f>
        <v>44536</v>
      </c>
      <c r="B11" s="344">
        <f>'Summery Report'!E10</f>
        <v>9</v>
      </c>
      <c r="C11" s="615">
        <f>Gen!C16</f>
        <v>7.7899999999999997E-2</v>
      </c>
      <c r="D11" s="577">
        <f>'Summery Report'!E10</f>
        <v>9</v>
      </c>
      <c r="E11" s="577">
        <f t="shared" si="13"/>
        <v>1.3262195121951219</v>
      </c>
      <c r="F11" s="353">
        <f t="shared" si="14"/>
        <v>495.26930894308941</v>
      </c>
      <c r="G11" s="353">
        <f>SUM(L11*E11)/D11</f>
        <v>495.26930894308941</v>
      </c>
      <c r="H11" s="577">
        <f>Gen!D16</f>
        <v>35988.549999999996</v>
      </c>
      <c r="I11" s="577">
        <f>Gen!F16</f>
        <v>0</v>
      </c>
      <c r="J11" s="616">
        <f>Gen!U16</f>
        <v>3361</v>
      </c>
      <c r="K11" s="621">
        <f>Gen!AL16</f>
        <v>0</v>
      </c>
      <c r="L11" s="612">
        <f t="shared" si="1"/>
        <v>3361</v>
      </c>
      <c r="M11" s="362">
        <f>'Water-Meter'!K51</f>
        <v>521.78639083740097</v>
      </c>
      <c r="N11" s="572">
        <f>'Water-Meter'!E11</f>
        <v>57</v>
      </c>
      <c r="O11" s="554"/>
      <c r="P11" s="688">
        <v>19136</v>
      </c>
      <c r="Q11" s="582">
        <f t="shared" si="2"/>
        <v>0</v>
      </c>
      <c r="R11" s="345">
        <f t="shared" si="7"/>
        <v>0</v>
      </c>
      <c r="S11" s="554">
        <v>7</v>
      </c>
      <c r="T11" s="560">
        <v>20158</v>
      </c>
      <c r="U11" s="582">
        <f t="shared" si="3"/>
        <v>4</v>
      </c>
      <c r="V11" s="346">
        <f t="shared" ref="V11" si="16">SUM(U11*S12)</f>
        <v>27.2</v>
      </c>
      <c r="W11" s="554"/>
      <c r="X11" s="763">
        <v>29498</v>
      </c>
      <c r="Y11" s="582">
        <f t="shared" si="8"/>
        <v>0</v>
      </c>
      <c r="Z11" s="563">
        <f t="shared" si="9"/>
        <v>0</v>
      </c>
      <c r="AA11" s="570">
        <f t="shared" si="10"/>
        <v>0</v>
      </c>
      <c r="AB11" s="567">
        <v>19387</v>
      </c>
      <c r="AC11" s="552">
        <f t="shared" si="11"/>
        <v>17</v>
      </c>
      <c r="AD11" s="687">
        <v>227365</v>
      </c>
      <c r="AE11" s="154">
        <f t="shared" si="15"/>
        <v>53</v>
      </c>
      <c r="AF11" s="576">
        <f>'Lpg (2)'!B15*2000/85</f>
        <v>2000</v>
      </c>
      <c r="AG11" s="222">
        <f>'Lpg (2)'!C15*1000/85</f>
        <v>588.23529411764707</v>
      </c>
      <c r="AH11" s="589">
        <f>'Lpg (2)'!D15*1000/85</f>
        <v>0</v>
      </c>
      <c r="AI11" s="579">
        <f t="shared" si="12"/>
        <v>4588235.2941176472</v>
      </c>
      <c r="AJ11" s="347">
        <f t="shared" si="6"/>
        <v>58823.529411764815</v>
      </c>
      <c r="AK11" s="113"/>
    </row>
    <row r="12" spans="1:37" ht="18.75" x14ac:dyDescent="0.3">
      <c r="A12" s="610">
        <f>Gen!B17</f>
        <v>44537</v>
      </c>
      <c r="B12" s="344">
        <f>'Summery Report'!E11</f>
        <v>9</v>
      </c>
      <c r="C12" s="615">
        <f>Gen!C17</f>
        <v>7.7899999999999997E-2</v>
      </c>
      <c r="D12" s="577">
        <f>'Summery Report'!E11</f>
        <v>9</v>
      </c>
      <c r="E12" s="577">
        <f t="shared" si="13"/>
        <v>1.3262195121951219</v>
      </c>
      <c r="F12" s="353">
        <f t="shared" si="14"/>
        <v>498.0691056910569</v>
      </c>
      <c r="G12" s="353">
        <f t="shared" si="0"/>
        <v>498.0691056910569</v>
      </c>
      <c r="H12" s="577">
        <f>Gen!D17</f>
        <v>34595.259999999995</v>
      </c>
      <c r="I12" s="577">
        <f>Gen!F17</f>
        <v>18000</v>
      </c>
      <c r="J12" s="616">
        <f>Gen!U17</f>
        <v>3380</v>
      </c>
      <c r="K12" s="621">
        <f>Gen!AL17</f>
        <v>0</v>
      </c>
      <c r="L12" s="612">
        <f t="shared" si="1"/>
        <v>3380</v>
      </c>
      <c r="M12" s="362">
        <f>'Water-Meter'!K52</f>
        <v>440.4760999882709</v>
      </c>
      <c r="N12" s="572">
        <f>'Water-Meter'!E12</f>
        <v>73</v>
      </c>
      <c r="O12" s="554"/>
      <c r="P12" s="688">
        <v>19136</v>
      </c>
      <c r="Q12" s="582">
        <f t="shared" si="2"/>
        <v>0</v>
      </c>
      <c r="R12" s="345">
        <f t="shared" si="7"/>
        <v>0</v>
      </c>
      <c r="S12" s="554">
        <v>6.8</v>
      </c>
      <c r="T12" s="560">
        <v>20174</v>
      </c>
      <c r="U12" s="582">
        <f t="shared" si="3"/>
        <v>16</v>
      </c>
      <c r="V12" s="346">
        <f t="shared" ref="V12:V16" si="17">SUM(U12*S12)</f>
        <v>108.8</v>
      </c>
      <c r="W12" s="554"/>
      <c r="X12" s="763">
        <v>29498</v>
      </c>
      <c r="Y12" s="582">
        <f t="shared" si="8"/>
        <v>0</v>
      </c>
      <c r="Z12" s="563">
        <f>SUM(Y12*W12)</f>
        <v>0</v>
      </c>
      <c r="AA12" s="570">
        <f t="shared" si="10"/>
        <v>0</v>
      </c>
      <c r="AB12" s="567">
        <v>19508</v>
      </c>
      <c r="AC12" s="552">
        <f t="shared" si="11"/>
        <v>121</v>
      </c>
      <c r="AD12" s="687">
        <v>227415</v>
      </c>
      <c r="AE12" s="154">
        <f t="shared" si="15"/>
        <v>50</v>
      </c>
      <c r="AF12" s="576">
        <f>'Lpg (2)'!B16*2000/85</f>
        <v>2000</v>
      </c>
      <c r="AG12" s="222">
        <f>'Lpg (2)'!C16*1000/85</f>
        <v>529.41176470588232</v>
      </c>
      <c r="AH12" s="589">
        <f>'Lpg (2)'!D16*1000/85</f>
        <v>0</v>
      </c>
      <c r="AI12" s="579">
        <f t="shared" si="12"/>
        <v>4529411.7647058824</v>
      </c>
      <c r="AJ12" s="347">
        <f t="shared" si="6"/>
        <v>58823.529411764815</v>
      </c>
      <c r="AK12" s="113"/>
    </row>
    <row r="13" spans="1:37" ht="18.75" x14ac:dyDescent="0.3">
      <c r="A13" s="610">
        <f>Gen!B18</f>
        <v>44538</v>
      </c>
      <c r="B13" s="344">
        <f>'Summery Report'!E12</f>
        <v>12</v>
      </c>
      <c r="C13" s="615">
        <f>Gen!C18</f>
        <v>0.12</v>
      </c>
      <c r="D13" s="577">
        <f>'Summery Report'!E12</f>
        <v>12</v>
      </c>
      <c r="E13" s="577">
        <f t="shared" si="13"/>
        <v>1.3262195121951219</v>
      </c>
      <c r="F13" s="353">
        <f t="shared" si="14"/>
        <v>404.71798780487802</v>
      </c>
      <c r="G13" s="353">
        <f t="shared" si="0"/>
        <v>404.71798780487802</v>
      </c>
      <c r="H13" s="577">
        <f>Gen!D18</f>
        <v>33090.379999999997</v>
      </c>
      <c r="I13" s="577">
        <f>Gen!F18</f>
        <v>0</v>
      </c>
      <c r="J13" s="616">
        <f>Gen!U18</f>
        <v>3662</v>
      </c>
      <c r="K13" s="621">
        <f>Gen!AL18</f>
        <v>0</v>
      </c>
      <c r="L13" s="612">
        <f t="shared" si="1"/>
        <v>3662</v>
      </c>
      <c r="M13" s="362">
        <f>'Water-Meter'!K53</f>
        <v>541.76567134587503</v>
      </c>
      <c r="N13" s="572">
        <f>'Water-Meter'!E13</f>
        <v>80</v>
      </c>
      <c r="O13" s="554"/>
      <c r="P13" s="688">
        <v>19136</v>
      </c>
      <c r="Q13" s="582">
        <f t="shared" si="2"/>
        <v>0</v>
      </c>
      <c r="R13" s="345">
        <f>SUM(Q13*O13)</f>
        <v>0</v>
      </c>
      <c r="S13" s="554">
        <v>7</v>
      </c>
      <c r="T13" s="560">
        <v>20198</v>
      </c>
      <c r="U13" s="582">
        <f t="shared" si="3"/>
        <v>24</v>
      </c>
      <c r="V13" s="346">
        <f t="shared" si="17"/>
        <v>168</v>
      </c>
      <c r="W13" s="554"/>
      <c r="X13" s="763">
        <v>29498</v>
      </c>
      <c r="Y13" s="582">
        <f t="shared" si="8"/>
        <v>0</v>
      </c>
      <c r="Z13" s="563">
        <f t="shared" ref="Z13:Z16" si="18">SUM(Y13*W13)</f>
        <v>0</v>
      </c>
      <c r="AA13" s="570">
        <f t="shared" si="10"/>
        <v>0</v>
      </c>
      <c r="AB13" s="567">
        <v>19678</v>
      </c>
      <c r="AC13" s="552">
        <f t="shared" si="11"/>
        <v>170</v>
      </c>
      <c r="AD13" s="687">
        <v>227478</v>
      </c>
      <c r="AE13" s="154">
        <f t="shared" si="15"/>
        <v>63</v>
      </c>
      <c r="AF13" s="576">
        <f>'Lpg (2)'!B17*2000/85</f>
        <v>2000</v>
      </c>
      <c r="AG13" s="222">
        <f>'Lpg (2)'!C17*1000/85</f>
        <v>470.58823529411762</v>
      </c>
      <c r="AH13" s="589">
        <f>'Lpg (2)'!D17*1000/85</f>
        <v>0</v>
      </c>
      <c r="AI13" s="579">
        <f t="shared" si="12"/>
        <v>4470588.2352941176</v>
      </c>
      <c r="AJ13" s="347">
        <f t="shared" si="6"/>
        <v>58823.529411764815</v>
      </c>
      <c r="AK13" s="113"/>
    </row>
    <row r="14" spans="1:37" ht="18.75" x14ac:dyDescent="0.3">
      <c r="A14" s="610">
        <f>Gen!B19</f>
        <v>44539</v>
      </c>
      <c r="B14" s="344">
        <f>'Summery Report'!E13</f>
        <v>10</v>
      </c>
      <c r="C14" s="615">
        <f>Gen!C19</f>
        <v>0.09</v>
      </c>
      <c r="D14" s="577">
        <f>'Summery Report'!E13</f>
        <v>10</v>
      </c>
      <c r="E14" s="577">
        <f t="shared" si="13"/>
        <v>1.3262195121951219</v>
      </c>
      <c r="F14" s="353">
        <f t="shared" si="14"/>
        <v>450.78201219512192</v>
      </c>
      <c r="G14" s="353">
        <f t="shared" si="0"/>
        <v>450.78201219512192</v>
      </c>
      <c r="H14" s="577">
        <f>Gen!D19</f>
        <v>31479.19</v>
      </c>
      <c r="I14" s="577">
        <f>Gen!F19</f>
        <v>0</v>
      </c>
      <c r="J14" s="616">
        <f>Gen!U19</f>
        <v>3399</v>
      </c>
      <c r="K14" s="621">
        <f>Gen!AL19</f>
        <v>0</v>
      </c>
      <c r="L14" s="612">
        <f t="shared" ref="L14:L37" si="19">SUM(J14:K14)</f>
        <v>3399</v>
      </c>
      <c r="M14" s="362">
        <f>'Water-Meter'!K54</f>
        <v>488.20218135457833</v>
      </c>
      <c r="N14" s="572">
        <f>'Water-Meter'!E14</f>
        <v>65</v>
      </c>
      <c r="O14" s="554"/>
      <c r="P14" s="688">
        <v>19136</v>
      </c>
      <c r="Q14" s="582">
        <f t="shared" si="2"/>
        <v>0</v>
      </c>
      <c r="R14" s="345">
        <f t="shared" si="7"/>
        <v>0</v>
      </c>
      <c r="S14" s="554">
        <v>6.8</v>
      </c>
      <c r="T14" s="560">
        <v>20198</v>
      </c>
      <c r="U14" s="582">
        <f t="shared" si="3"/>
        <v>0</v>
      </c>
      <c r="V14" s="346">
        <f t="shared" si="17"/>
        <v>0</v>
      </c>
      <c r="W14" s="554"/>
      <c r="X14" s="763">
        <v>29498</v>
      </c>
      <c r="Y14" s="582">
        <f t="shared" si="8"/>
        <v>0</v>
      </c>
      <c r="Z14" s="563">
        <f t="shared" si="18"/>
        <v>0</v>
      </c>
      <c r="AA14" s="570">
        <f t="shared" si="10"/>
        <v>0</v>
      </c>
      <c r="AB14" s="567">
        <v>19678</v>
      </c>
      <c r="AC14" s="552">
        <f t="shared" si="11"/>
        <v>0</v>
      </c>
      <c r="AD14" s="687">
        <v>227533</v>
      </c>
      <c r="AE14" s="154">
        <f t="shared" si="15"/>
        <v>55</v>
      </c>
      <c r="AF14" s="576">
        <f>'Lpg (2)'!B18*2000/85</f>
        <v>2000</v>
      </c>
      <c r="AG14" s="222">
        <f>'Lpg (2)'!C18*1000/85</f>
        <v>411.76470588235293</v>
      </c>
      <c r="AH14" s="589">
        <f>'Lpg (2)'!D18*1000/85</f>
        <v>0</v>
      </c>
      <c r="AI14" s="579">
        <f t="shared" si="12"/>
        <v>4411764.7058823528</v>
      </c>
      <c r="AJ14" s="347">
        <f t="shared" si="6"/>
        <v>58823.529411764815</v>
      </c>
      <c r="AK14" s="113"/>
    </row>
    <row r="15" spans="1:37" ht="18.75" x14ac:dyDescent="0.3">
      <c r="A15" s="610">
        <f>Gen!B20</f>
        <v>44540</v>
      </c>
      <c r="B15" s="344">
        <f>'Summery Report'!E14</f>
        <v>12</v>
      </c>
      <c r="C15" s="615">
        <f>Gen!C20</f>
        <v>0.12</v>
      </c>
      <c r="D15" s="577">
        <f>'Summery Report'!E14</f>
        <v>12</v>
      </c>
      <c r="E15" s="577">
        <f t="shared" si="13"/>
        <v>1.3262195121951219</v>
      </c>
      <c r="F15" s="353">
        <f t="shared" si="14"/>
        <v>380.1829268292683</v>
      </c>
      <c r="G15" s="353">
        <f t="shared" si="0"/>
        <v>380.1829268292683</v>
      </c>
      <c r="H15" s="577">
        <f>Gen!D20</f>
        <v>30055.55</v>
      </c>
      <c r="I15" s="577">
        <f>Gen!F20</f>
        <v>0</v>
      </c>
      <c r="J15" s="616">
        <f>Gen!U20</f>
        <v>3440</v>
      </c>
      <c r="K15" s="621">
        <f>Gen!AL20</f>
        <v>0</v>
      </c>
      <c r="L15" s="612">
        <f t="shared" si="19"/>
        <v>3440</v>
      </c>
      <c r="M15" s="362">
        <f>'Water-Meter'!K55</f>
        <v>489.96747545282409</v>
      </c>
      <c r="N15" s="572">
        <f>'Water-Meter'!E15</f>
        <v>71</v>
      </c>
      <c r="O15" s="554"/>
      <c r="P15" s="688">
        <v>19136</v>
      </c>
      <c r="Q15" s="582">
        <f>SUM(P15-P14)</f>
        <v>0</v>
      </c>
      <c r="R15" s="345">
        <f t="shared" si="7"/>
        <v>0</v>
      </c>
      <c r="S15" s="554"/>
      <c r="T15" s="560">
        <v>20222</v>
      </c>
      <c r="U15" s="582">
        <f t="shared" si="3"/>
        <v>24</v>
      </c>
      <c r="V15" s="346">
        <f t="shared" si="17"/>
        <v>0</v>
      </c>
      <c r="W15" s="554"/>
      <c r="X15" s="763">
        <v>29498</v>
      </c>
      <c r="Y15" s="582">
        <f t="shared" si="8"/>
        <v>0</v>
      </c>
      <c r="Z15" s="563">
        <f t="shared" si="18"/>
        <v>0</v>
      </c>
      <c r="AA15" s="570">
        <f t="shared" si="10"/>
        <v>0</v>
      </c>
      <c r="AB15" s="567">
        <v>19845</v>
      </c>
      <c r="AC15" s="552">
        <f t="shared" si="11"/>
        <v>167</v>
      </c>
      <c r="AD15" s="687">
        <v>227587</v>
      </c>
      <c r="AE15" s="154">
        <f>AD15-AD14</f>
        <v>54</v>
      </c>
      <c r="AF15" s="576">
        <f>'Lpg (2)'!B19*2000/85</f>
        <v>2000</v>
      </c>
      <c r="AG15" s="222">
        <f>'Lpg (2)'!C19*1000/85</f>
        <v>352.94117647058823</v>
      </c>
      <c r="AH15" s="589">
        <f>'Lpg (2)'!D19*1000/85</f>
        <v>0</v>
      </c>
      <c r="AI15" s="579">
        <f t="shared" ref="AI15:AI35" si="20">SUM(AF15*2000)+(AG15*1000)+(AH15*1000)</f>
        <v>4352941.176470588</v>
      </c>
      <c r="AJ15" s="347">
        <f t="shared" si="6"/>
        <v>58823.529411764815</v>
      </c>
      <c r="AK15" s="113"/>
    </row>
    <row r="16" spans="1:37" ht="18.75" x14ac:dyDescent="0.3">
      <c r="A16" s="610">
        <f>Gen!B21</f>
        <v>44541</v>
      </c>
      <c r="B16" s="344">
        <f>'Summery Report'!E15</f>
        <v>12</v>
      </c>
      <c r="C16" s="615">
        <f>Gen!C21</f>
        <v>0.12</v>
      </c>
      <c r="D16" s="577">
        <f>'Summery Report'!E15</f>
        <v>12</v>
      </c>
      <c r="E16" s="577">
        <f t="shared" si="13"/>
        <v>1.3262195121951219</v>
      </c>
      <c r="F16" s="353">
        <f t="shared" si="14"/>
        <v>408.47560975609758</v>
      </c>
      <c r="G16" s="353">
        <f t="shared" si="0"/>
        <v>408.47560975609758</v>
      </c>
      <c r="H16" s="577">
        <f>Gen!D21</f>
        <v>28259.57</v>
      </c>
      <c r="I16" s="577">
        <f>Gen!F21</f>
        <v>0</v>
      </c>
      <c r="J16" s="616">
        <f>Gen!U21</f>
        <v>3696</v>
      </c>
      <c r="K16" s="621">
        <f>Gen!AL21</f>
        <v>0</v>
      </c>
      <c r="L16" s="612">
        <f t="shared" si="19"/>
        <v>3696</v>
      </c>
      <c r="M16" s="362">
        <f>'Water-Meter'!K56</f>
        <v>530.64048979099482</v>
      </c>
      <c r="N16" s="572">
        <f>'Water-Meter'!E16</f>
        <v>72</v>
      </c>
      <c r="O16" s="554"/>
      <c r="P16" s="688">
        <v>19136</v>
      </c>
      <c r="Q16" s="582">
        <f t="shared" ref="Q16:Q18" si="21">SUM(P16-P15)</f>
        <v>0</v>
      </c>
      <c r="R16" s="345">
        <f t="shared" si="7"/>
        <v>0</v>
      </c>
      <c r="S16" s="554">
        <v>6.8</v>
      </c>
      <c r="T16" s="560">
        <v>20224</v>
      </c>
      <c r="U16" s="582">
        <f t="shared" si="3"/>
        <v>2</v>
      </c>
      <c r="V16" s="346">
        <f t="shared" si="17"/>
        <v>13.6</v>
      </c>
      <c r="W16" s="554"/>
      <c r="X16" s="763">
        <v>29498</v>
      </c>
      <c r="Y16" s="582">
        <f t="shared" si="8"/>
        <v>0</v>
      </c>
      <c r="Z16" s="563">
        <f t="shared" si="18"/>
        <v>0</v>
      </c>
      <c r="AA16" s="570">
        <f t="shared" si="10"/>
        <v>0</v>
      </c>
      <c r="AB16" s="567">
        <v>19860</v>
      </c>
      <c r="AC16" s="552">
        <f t="shared" si="11"/>
        <v>15</v>
      </c>
      <c r="AD16" s="687">
        <v>227647</v>
      </c>
      <c r="AE16" s="154">
        <f t="shared" ref="AE16:AE37" si="22">AD16-AD15</f>
        <v>60</v>
      </c>
      <c r="AF16" s="576">
        <f>'Lpg (2)'!B20*2000/85</f>
        <v>2000</v>
      </c>
      <c r="AG16" s="222">
        <f>'Lpg (2)'!C20*1000/85</f>
        <v>258.8235294117647</v>
      </c>
      <c r="AH16" s="589">
        <f>'Lpg (2)'!D20*1000/85</f>
        <v>0</v>
      </c>
      <c r="AI16" s="579">
        <f t="shared" si="20"/>
        <v>4258823.5294117648</v>
      </c>
      <c r="AJ16" s="347">
        <f t="shared" si="6"/>
        <v>94117.647058823146</v>
      </c>
      <c r="AK16" s="113"/>
    </row>
    <row r="17" spans="1:37" ht="18.75" x14ac:dyDescent="0.3">
      <c r="A17" s="610">
        <f>Gen!B22</f>
        <v>44542</v>
      </c>
      <c r="B17" s="344">
        <f>'Summery Report'!E16</f>
        <v>12</v>
      </c>
      <c r="C17" s="615">
        <f>Gen!C22</f>
        <v>0.12</v>
      </c>
      <c r="D17" s="577">
        <f>'Summery Report'!E16</f>
        <v>12</v>
      </c>
      <c r="E17" s="577">
        <f t="shared" si="13"/>
        <v>1.3262195121951219</v>
      </c>
      <c r="F17" s="353">
        <f t="shared" si="14"/>
        <v>402.94969512195121</v>
      </c>
      <c r="G17" s="353">
        <f t="shared" si="0"/>
        <v>402.94969512195121</v>
      </c>
      <c r="H17" s="577">
        <f>Gen!D22</f>
        <v>26708.91</v>
      </c>
      <c r="I17" s="577">
        <f>Gen!F22</f>
        <v>0</v>
      </c>
      <c r="J17" s="616">
        <f>Gen!U22</f>
        <v>3646</v>
      </c>
      <c r="K17" s="621">
        <f>Gen!AL22</f>
        <v>0</v>
      </c>
      <c r="L17" s="612">
        <f t="shared" si="19"/>
        <v>3646</v>
      </c>
      <c r="M17" s="362">
        <f>'Water-Meter'!K57</f>
        <v>548.840130220334</v>
      </c>
      <c r="N17" s="572">
        <f>'Water-Meter'!E17</f>
        <v>65</v>
      </c>
      <c r="O17" s="554"/>
      <c r="P17" s="688">
        <v>19136</v>
      </c>
      <c r="Q17" s="582">
        <f t="shared" si="21"/>
        <v>0</v>
      </c>
      <c r="R17" s="345">
        <f t="shared" si="7"/>
        <v>0</v>
      </c>
      <c r="S17" s="554">
        <v>6.8</v>
      </c>
      <c r="T17" s="560">
        <v>20247</v>
      </c>
      <c r="U17" s="582">
        <f t="shared" si="3"/>
        <v>23</v>
      </c>
      <c r="V17" s="346">
        <f t="shared" ref="V17:V36" si="23">SUM(U17*S17)</f>
        <v>156.4</v>
      </c>
      <c r="W17" s="554"/>
      <c r="X17" s="763">
        <v>29498</v>
      </c>
      <c r="Y17" s="582">
        <f t="shared" si="8"/>
        <v>0</v>
      </c>
      <c r="Z17" s="563">
        <f>SUM(Y17*W17)</f>
        <v>0</v>
      </c>
      <c r="AA17" s="570">
        <f t="shared" si="10"/>
        <v>0</v>
      </c>
      <c r="AB17" s="567">
        <v>20017</v>
      </c>
      <c r="AC17" s="552">
        <f t="shared" si="11"/>
        <v>157</v>
      </c>
      <c r="AD17" s="687">
        <v>227709</v>
      </c>
      <c r="AE17" s="154">
        <f t="shared" si="22"/>
        <v>62</v>
      </c>
      <c r="AF17" s="576">
        <f>'Lpg (2)'!B21*2000/85</f>
        <v>2000</v>
      </c>
      <c r="AG17" s="222">
        <f>'Lpg (2)'!C21*1000/85</f>
        <v>176.47058823529412</v>
      </c>
      <c r="AH17" s="589">
        <f>'Lpg (2)'!D21*1000/85</f>
        <v>0</v>
      </c>
      <c r="AI17" s="579">
        <f t="shared" si="20"/>
        <v>4176470.588235294</v>
      </c>
      <c r="AJ17" s="347">
        <f t="shared" si="6"/>
        <v>82352.941176470835</v>
      </c>
      <c r="AK17" s="113"/>
    </row>
    <row r="18" spans="1:37" ht="18.75" x14ac:dyDescent="0.3">
      <c r="A18" s="610">
        <f>Gen!B23</f>
        <v>44543</v>
      </c>
      <c r="B18" s="344">
        <f>'Summery Report'!E17</f>
        <v>15</v>
      </c>
      <c r="C18" s="615">
        <f>Gen!C23</f>
        <v>0.16</v>
      </c>
      <c r="D18" s="577">
        <f>'Summery Report'!E17</f>
        <v>15</v>
      </c>
      <c r="E18" s="577">
        <f t="shared" si="13"/>
        <v>1.3262195121951219</v>
      </c>
      <c r="F18" s="353">
        <f t="shared" si="14"/>
        <v>350.74085365853654</v>
      </c>
      <c r="G18" s="353">
        <f t="shared" si="0"/>
        <v>350.74085365853654</v>
      </c>
      <c r="H18" s="577">
        <f>Gen!D23</f>
        <v>25155.51</v>
      </c>
      <c r="I18" s="577">
        <f>Gen!F23</f>
        <v>0</v>
      </c>
      <c r="J18" s="616">
        <f>Gen!U23</f>
        <v>3967</v>
      </c>
      <c r="K18" s="621">
        <f>Gen!AL23</f>
        <v>0</v>
      </c>
      <c r="L18" s="612">
        <f t="shared" si="19"/>
        <v>3967</v>
      </c>
      <c r="M18" s="362">
        <f>'Water-Meter'!K58</f>
        <v>604.45025740000699</v>
      </c>
      <c r="N18" s="572">
        <f>'Water-Meter'!E18</f>
        <v>68</v>
      </c>
      <c r="O18" s="554"/>
      <c r="P18" s="688">
        <v>19136</v>
      </c>
      <c r="Q18" s="582">
        <f t="shared" si="21"/>
        <v>0</v>
      </c>
      <c r="R18" s="345">
        <f t="shared" si="7"/>
        <v>0</v>
      </c>
      <c r="S18" s="554">
        <v>6.8</v>
      </c>
      <c r="T18" s="560">
        <v>20254</v>
      </c>
      <c r="U18" s="582">
        <f t="shared" si="3"/>
        <v>7</v>
      </c>
      <c r="V18" s="346">
        <f t="shared" si="23"/>
        <v>47.6</v>
      </c>
      <c r="W18" s="554"/>
      <c r="X18" s="763">
        <v>29498</v>
      </c>
      <c r="Y18" s="582">
        <f t="shared" si="8"/>
        <v>0</v>
      </c>
      <c r="Z18" s="563">
        <f t="shared" si="9"/>
        <v>0</v>
      </c>
      <c r="AA18" s="570">
        <f t="shared" si="10"/>
        <v>0</v>
      </c>
      <c r="AB18" s="567">
        <v>20061</v>
      </c>
      <c r="AC18" s="552">
        <f t="shared" si="11"/>
        <v>44</v>
      </c>
      <c r="AD18" s="687">
        <v>227775</v>
      </c>
      <c r="AE18" s="154">
        <f>AD18-AD17</f>
        <v>66</v>
      </c>
      <c r="AF18" s="576">
        <f>'Lpg (2)'!B22*2000/85</f>
        <v>2000</v>
      </c>
      <c r="AG18" s="222">
        <f>'Lpg (2)'!C22*1000/85</f>
        <v>117.64705882352941</v>
      </c>
      <c r="AH18" s="589">
        <f>'Lpg (2)'!D22*1000/85</f>
        <v>0</v>
      </c>
      <c r="AI18" s="579">
        <f t="shared" si="20"/>
        <v>4117647.0588235296</v>
      </c>
      <c r="AJ18" s="347">
        <f t="shared" si="6"/>
        <v>58823.52941176435</v>
      </c>
      <c r="AK18" s="113"/>
    </row>
    <row r="19" spans="1:37" ht="18.75" x14ac:dyDescent="0.3">
      <c r="A19" s="610">
        <f>Gen!B24</f>
        <v>44544</v>
      </c>
      <c r="B19" s="344">
        <f>'Summery Report'!E18</f>
        <v>16</v>
      </c>
      <c r="C19" s="615">
        <f>Gen!C24</f>
        <v>0.17</v>
      </c>
      <c r="D19" s="577">
        <f>'Summery Report'!E18</f>
        <v>16</v>
      </c>
      <c r="E19" s="577">
        <f t="shared" si="13"/>
        <v>1.3262195121951219</v>
      </c>
      <c r="F19" s="353">
        <f t="shared" si="14"/>
        <v>282.73342225609753</v>
      </c>
      <c r="G19" s="353">
        <f t="shared" si="0"/>
        <v>282.73342225609753</v>
      </c>
      <c r="H19" s="577">
        <f>Gen!D24</f>
        <v>41472.629999999997</v>
      </c>
      <c r="I19" s="577">
        <f>Gen!F24</f>
        <v>0</v>
      </c>
      <c r="J19" s="616">
        <f>Gen!U24</f>
        <v>3411</v>
      </c>
      <c r="K19" s="621">
        <f>Gen!AL24</f>
        <v>0</v>
      </c>
      <c r="L19" s="612">
        <f t="shared" si="19"/>
        <v>3411</v>
      </c>
      <c r="M19" s="362">
        <f>'Water-Meter'!K59</f>
        <v>544.56368000388375</v>
      </c>
      <c r="N19" s="572">
        <f>'Water-Meter'!E19</f>
        <v>78</v>
      </c>
      <c r="O19" s="564"/>
      <c r="P19" s="688">
        <v>19136</v>
      </c>
      <c r="Q19" s="582"/>
      <c r="R19" s="345">
        <f t="shared" si="7"/>
        <v>0</v>
      </c>
      <c r="S19" s="554">
        <v>6.8</v>
      </c>
      <c r="T19" s="560">
        <v>20278</v>
      </c>
      <c r="U19" s="582">
        <f t="shared" si="3"/>
        <v>24</v>
      </c>
      <c r="V19" s="346">
        <f t="shared" si="23"/>
        <v>163.19999999999999</v>
      </c>
      <c r="W19" s="554"/>
      <c r="X19" s="763">
        <v>29498</v>
      </c>
      <c r="Y19" s="582">
        <f t="shared" si="8"/>
        <v>0</v>
      </c>
      <c r="Z19" s="563">
        <f t="shared" si="9"/>
        <v>0</v>
      </c>
      <c r="AA19" s="570">
        <f t="shared" si="10"/>
        <v>0</v>
      </c>
      <c r="AB19" s="567">
        <v>20228</v>
      </c>
      <c r="AC19" s="552">
        <f t="shared" si="11"/>
        <v>167</v>
      </c>
      <c r="AD19" s="687">
        <v>227831</v>
      </c>
      <c r="AE19" s="154">
        <f t="shared" si="22"/>
        <v>56</v>
      </c>
      <c r="AF19" s="576">
        <f>'Lpg (2)'!B23*2000/85</f>
        <v>2000</v>
      </c>
      <c r="AG19" s="222">
        <f>'Lpg (2)'!C23*1000/85</f>
        <v>82.352941176470594</v>
      </c>
      <c r="AH19" s="589">
        <f>'Lpg (2)'!D23*1000/85</f>
        <v>0</v>
      </c>
      <c r="AI19" s="579">
        <f t="shared" si="20"/>
        <v>4082352.9411764704</v>
      </c>
      <c r="AJ19" s="347">
        <f t="shared" si="6"/>
        <v>35294.117647059262</v>
      </c>
      <c r="AK19" s="113"/>
    </row>
    <row r="20" spans="1:37" ht="18.75" x14ac:dyDescent="0.3">
      <c r="A20" s="610">
        <f>Gen!B25</f>
        <v>44545</v>
      </c>
      <c r="B20" s="344">
        <f>'Summery Report'!E19</f>
        <v>17</v>
      </c>
      <c r="C20" s="615">
        <f>Gen!C25</f>
        <v>0.18</v>
      </c>
      <c r="D20" s="577">
        <f>'Summery Report'!E19</f>
        <v>17</v>
      </c>
      <c r="E20" s="577">
        <f t="shared" si="13"/>
        <v>1.3262195121951219</v>
      </c>
      <c r="F20" s="353">
        <f t="shared" si="14"/>
        <v>302.53407460545196</v>
      </c>
      <c r="G20" s="353">
        <f t="shared" si="0"/>
        <v>302.53407460545196</v>
      </c>
      <c r="H20" s="577">
        <f>Gen!D25</f>
        <v>39935.909999999996</v>
      </c>
      <c r="I20" s="577">
        <f>Gen!F25</f>
        <v>0</v>
      </c>
      <c r="J20" s="616">
        <f>Gen!U25</f>
        <v>3878</v>
      </c>
      <c r="K20" s="621">
        <f>Gen!AL25</f>
        <v>0</v>
      </c>
      <c r="L20" s="612">
        <f t="shared" si="19"/>
        <v>3878</v>
      </c>
      <c r="M20" s="362">
        <f>'Water-Meter'!K60</f>
        <v>557.63933411749406</v>
      </c>
      <c r="N20" s="572">
        <f>'Water-Meter'!E20</f>
        <v>72</v>
      </c>
      <c r="O20" s="564"/>
      <c r="P20" s="688">
        <v>19136</v>
      </c>
      <c r="Q20" s="582">
        <f>SUM(P20-P18)</f>
        <v>0</v>
      </c>
      <c r="R20" s="345">
        <f t="shared" si="7"/>
        <v>0</v>
      </c>
      <c r="S20" s="554">
        <v>6.8</v>
      </c>
      <c r="T20" s="560">
        <v>20291</v>
      </c>
      <c r="U20" s="582">
        <f t="shared" si="3"/>
        <v>13</v>
      </c>
      <c r="V20" s="346">
        <f t="shared" si="23"/>
        <v>88.399999999999991</v>
      </c>
      <c r="W20" s="554"/>
      <c r="X20" s="763">
        <v>29498</v>
      </c>
      <c r="Y20" s="582">
        <f t="shared" si="8"/>
        <v>0</v>
      </c>
      <c r="Z20" s="563">
        <f t="shared" si="9"/>
        <v>0</v>
      </c>
      <c r="AA20" s="570">
        <f t="shared" si="10"/>
        <v>0</v>
      </c>
      <c r="AB20" s="567">
        <v>20332</v>
      </c>
      <c r="AC20" s="552">
        <f t="shared" si="11"/>
        <v>104</v>
      </c>
      <c r="AD20" s="687">
        <v>227955</v>
      </c>
      <c r="AE20" s="154">
        <f>AD20-AD19</f>
        <v>124</v>
      </c>
      <c r="AF20" s="576">
        <f>'Lpg (2)'!B24*2000/85</f>
        <v>2000</v>
      </c>
      <c r="AG20" s="222">
        <f>'Lpg (2)'!C24*1000/85</f>
        <v>70.588235294117652</v>
      </c>
      <c r="AH20" s="589">
        <f>'Lpg (2)'!D24*1000/85</f>
        <v>0</v>
      </c>
      <c r="AI20" s="579">
        <f t="shared" si="20"/>
        <v>4070588.2352941176</v>
      </c>
      <c r="AJ20" s="347">
        <f t="shared" si="6"/>
        <v>11764.705882352777</v>
      </c>
      <c r="AK20" s="113"/>
    </row>
    <row r="21" spans="1:37" ht="18.75" x14ac:dyDescent="0.3">
      <c r="A21" s="610">
        <f>Gen!B26</f>
        <v>44546</v>
      </c>
      <c r="B21" s="344">
        <f>'Summery Report'!E20</f>
        <v>15</v>
      </c>
      <c r="C21" s="615">
        <f>Gen!C26</f>
        <v>0.16</v>
      </c>
      <c r="D21" s="577">
        <f>'Summery Report'!E20</f>
        <v>15</v>
      </c>
      <c r="E21" s="577">
        <f t="shared" si="13"/>
        <v>1.3262195121951219</v>
      </c>
      <c r="F21" s="353">
        <f t="shared" si="14"/>
        <v>345.34756097560972</v>
      </c>
      <c r="G21" s="353">
        <f t="shared" si="0"/>
        <v>345.34756097560972</v>
      </c>
      <c r="H21" s="577">
        <f>Gen!D26</f>
        <v>38334</v>
      </c>
      <c r="I21" s="577">
        <f>Gen!F26</f>
        <v>0</v>
      </c>
      <c r="J21" s="616">
        <f>Gen!U26</f>
        <v>3906</v>
      </c>
      <c r="K21" s="621">
        <f>Gen!AL26</f>
        <v>0</v>
      </c>
      <c r="L21" s="612">
        <f t="shared" si="19"/>
        <v>3906</v>
      </c>
      <c r="M21" s="362">
        <f>'Water-Meter'!K61</f>
        <v>544.36194970476311</v>
      </c>
      <c r="N21" s="572">
        <f>'Water-Meter'!E21</f>
        <v>73</v>
      </c>
      <c r="O21" s="564"/>
      <c r="P21" s="688">
        <v>19136</v>
      </c>
      <c r="Q21" s="582">
        <f t="shared" si="2"/>
        <v>0</v>
      </c>
      <c r="R21" s="345">
        <f t="shared" si="7"/>
        <v>0</v>
      </c>
      <c r="S21" s="554">
        <v>6.8</v>
      </c>
      <c r="T21" s="560">
        <v>20304</v>
      </c>
      <c r="U21" s="582">
        <f t="shared" si="3"/>
        <v>13</v>
      </c>
      <c r="V21" s="346">
        <f t="shared" si="23"/>
        <v>88.399999999999991</v>
      </c>
      <c r="W21" s="554"/>
      <c r="X21" s="763">
        <v>29498</v>
      </c>
      <c r="Y21" s="582">
        <f t="shared" si="8"/>
        <v>0</v>
      </c>
      <c r="Z21" s="563">
        <f t="shared" si="9"/>
        <v>0</v>
      </c>
      <c r="AA21" s="570">
        <f t="shared" si="10"/>
        <v>0</v>
      </c>
      <c r="AB21" s="567">
        <v>20414</v>
      </c>
      <c r="AC21" s="552">
        <f t="shared" si="11"/>
        <v>82</v>
      </c>
      <c r="AD21" s="687">
        <v>228013</v>
      </c>
      <c r="AE21" s="154">
        <f t="shared" si="22"/>
        <v>58</v>
      </c>
      <c r="AF21" s="576">
        <f>'Lpg (2)'!B25*2000/85</f>
        <v>2000</v>
      </c>
      <c r="AG21" s="222">
        <f>'Lpg (2)'!C25*1000/85</f>
        <v>58.823529411764703</v>
      </c>
      <c r="AH21" s="589">
        <f>'Lpg (2)'!D25*1000/85</f>
        <v>0</v>
      </c>
      <c r="AI21" s="579">
        <f t="shared" si="20"/>
        <v>4058823.5294117648</v>
      </c>
      <c r="AJ21" s="347">
        <f t="shared" si="6"/>
        <v>11764.705882352777</v>
      </c>
      <c r="AK21" s="113"/>
    </row>
    <row r="22" spans="1:37" ht="18.75" x14ac:dyDescent="0.3">
      <c r="A22" s="610">
        <f>Gen!B27</f>
        <v>44547</v>
      </c>
      <c r="B22" s="344">
        <f>'Summery Report'!E21</f>
        <v>15</v>
      </c>
      <c r="C22" s="615">
        <f>Gen!C27</f>
        <v>0.16</v>
      </c>
      <c r="D22" s="577">
        <f>'Summery Report'!E21</f>
        <v>15</v>
      </c>
      <c r="E22" s="577">
        <f t="shared" si="13"/>
        <v>1.3262195121951219</v>
      </c>
      <c r="F22" s="353">
        <f t="shared" si="14"/>
        <v>332.79268292682923</v>
      </c>
      <c r="G22" s="353">
        <f t="shared" si="0"/>
        <v>332.79268292682923</v>
      </c>
      <c r="H22" s="577">
        <f>Gen!D27</f>
        <v>51630.67</v>
      </c>
      <c r="I22" s="577">
        <f>Gen!F27</f>
        <v>15000</v>
      </c>
      <c r="J22" s="616">
        <f>Gen!U27</f>
        <v>3764</v>
      </c>
      <c r="K22" s="621">
        <f>Gen!AL27</f>
        <v>0</v>
      </c>
      <c r="L22" s="612">
        <f t="shared" si="19"/>
        <v>3764</v>
      </c>
      <c r="M22" s="362">
        <f>'Water-Meter'!K62</f>
        <v>532.40578388924064</v>
      </c>
      <c r="N22" s="572">
        <f>'Water-Meter'!E22</f>
        <v>73</v>
      </c>
      <c r="O22" s="564"/>
      <c r="P22" s="688">
        <v>19136</v>
      </c>
      <c r="Q22" s="582">
        <f t="shared" si="2"/>
        <v>0</v>
      </c>
      <c r="R22" s="345">
        <f t="shared" si="7"/>
        <v>0</v>
      </c>
      <c r="S22" s="554">
        <v>6.8</v>
      </c>
      <c r="T22" s="560">
        <v>20309</v>
      </c>
      <c r="U22" s="582">
        <f t="shared" si="3"/>
        <v>5</v>
      </c>
      <c r="V22" s="346">
        <f t="shared" si="23"/>
        <v>34</v>
      </c>
      <c r="W22" s="554"/>
      <c r="X22" s="763">
        <v>29498</v>
      </c>
      <c r="Y22" s="582">
        <f t="shared" ref="Y22:Y36" si="24">X22-X21</f>
        <v>0</v>
      </c>
      <c r="Z22" s="563">
        <f t="shared" si="9"/>
        <v>0</v>
      </c>
      <c r="AA22" s="570">
        <f t="shared" si="10"/>
        <v>0</v>
      </c>
      <c r="AB22" s="567">
        <v>20421</v>
      </c>
      <c r="AC22" s="552">
        <f t="shared" si="11"/>
        <v>7</v>
      </c>
      <c r="AD22" s="687">
        <v>228067</v>
      </c>
      <c r="AE22" s="154">
        <f t="shared" si="22"/>
        <v>54</v>
      </c>
      <c r="AF22" s="576">
        <f>'Lpg (2)'!B26*2000/85</f>
        <v>2000</v>
      </c>
      <c r="AG22" s="222">
        <f>'Lpg (2)'!C26*1000/85</f>
        <v>47.058823529411768</v>
      </c>
      <c r="AH22" s="589">
        <f>'Lpg (2)'!D26*1000/85</f>
        <v>0</v>
      </c>
      <c r="AI22" s="579">
        <f t="shared" si="20"/>
        <v>4047058.8235294116</v>
      </c>
      <c r="AJ22" s="347">
        <f t="shared" si="6"/>
        <v>11764.705882353242</v>
      </c>
      <c r="AK22" s="113"/>
    </row>
    <row r="23" spans="1:37" ht="18.75" x14ac:dyDescent="0.3">
      <c r="A23" s="610">
        <f>Gen!B28</f>
        <v>44548</v>
      </c>
      <c r="B23" s="344">
        <f>'Summery Report'!E22</f>
        <v>13</v>
      </c>
      <c r="C23" s="615">
        <f>Gen!C28</f>
        <v>0.13</v>
      </c>
      <c r="D23" s="577">
        <f>'Summery Report'!E22</f>
        <v>13</v>
      </c>
      <c r="E23" s="577">
        <f t="shared" si="13"/>
        <v>1.3262195121951219</v>
      </c>
      <c r="F23" s="353">
        <f t="shared" si="14"/>
        <v>396.02954971857406</v>
      </c>
      <c r="G23" s="353">
        <f t="shared" si="0"/>
        <v>396.02954971857406</v>
      </c>
      <c r="H23" s="577">
        <f>Gen!D28</f>
        <v>49995.77</v>
      </c>
      <c r="I23" s="577">
        <f>Gen!F28</f>
        <v>0</v>
      </c>
      <c r="J23" s="616">
        <f>Gen!U28</f>
        <v>3882</v>
      </c>
      <c r="K23" s="621">
        <f>Gen!AL28</f>
        <v>0</v>
      </c>
      <c r="L23" s="612">
        <f t="shared" si="19"/>
        <v>3882</v>
      </c>
      <c r="M23" s="362">
        <f>'Water-Meter'!K63</f>
        <v>508.56404412905079</v>
      </c>
      <c r="N23" s="572">
        <f>'Water-Meter'!E23</f>
        <v>85</v>
      </c>
      <c r="O23" s="564"/>
      <c r="P23" s="688">
        <v>19136</v>
      </c>
      <c r="Q23" s="582">
        <f t="shared" si="2"/>
        <v>0</v>
      </c>
      <c r="R23" s="345">
        <f t="shared" si="7"/>
        <v>0</v>
      </c>
      <c r="S23" s="554">
        <v>6.8</v>
      </c>
      <c r="T23" s="560">
        <v>20328</v>
      </c>
      <c r="U23" s="582">
        <f t="shared" si="3"/>
        <v>19</v>
      </c>
      <c r="V23" s="346">
        <f t="shared" si="23"/>
        <v>129.19999999999999</v>
      </c>
      <c r="W23" s="554"/>
      <c r="X23" s="763">
        <v>29498</v>
      </c>
      <c r="Y23" s="582">
        <f t="shared" si="24"/>
        <v>0</v>
      </c>
      <c r="Z23" s="563">
        <f t="shared" si="9"/>
        <v>0</v>
      </c>
      <c r="AA23" s="570">
        <f t="shared" si="10"/>
        <v>0</v>
      </c>
      <c r="AB23" s="567">
        <v>20573</v>
      </c>
      <c r="AC23" s="552">
        <f>AB23-AB22</f>
        <v>152</v>
      </c>
      <c r="AD23" s="687">
        <v>228130</v>
      </c>
      <c r="AE23" s="154">
        <f t="shared" si="22"/>
        <v>63</v>
      </c>
      <c r="AF23" s="576">
        <f>'Lpg (2)'!B27*2000/85</f>
        <v>2000</v>
      </c>
      <c r="AG23" s="222">
        <f>'Lpg (2)'!C27*1000/85</f>
        <v>35.294117647058826</v>
      </c>
      <c r="AH23" s="589">
        <f>'Lpg (2)'!D27*1000/85</f>
        <v>0</v>
      </c>
      <c r="AI23" s="579">
        <f t="shared" si="20"/>
        <v>4035294.1176470588</v>
      </c>
      <c r="AJ23" s="347">
        <f t="shared" si="6"/>
        <v>11764.705882352777</v>
      </c>
      <c r="AK23" s="113"/>
    </row>
    <row r="24" spans="1:37" ht="18.75" x14ac:dyDescent="0.3">
      <c r="A24" s="610">
        <f>Gen!B29</f>
        <v>44549</v>
      </c>
      <c r="B24" s="344">
        <f>'Summery Report'!E23</f>
        <v>10</v>
      </c>
      <c r="C24" s="615">
        <f>Gen!C29</f>
        <v>0.12</v>
      </c>
      <c r="D24" s="577">
        <f>'Summery Report'!E23</f>
        <v>10</v>
      </c>
      <c r="E24" s="577">
        <f t="shared" si="13"/>
        <v>1.3262195121951219</v>
      </c>
      <c r="F24" s="353">
        <f t="shared" si="14"/>
        <v>496.66920731707313</v>
      </c>
      <c r="G24" s="353">
        <f t="shared" si="0"/>
        <v>496.66920731707313</v>
      </c>
      <c r="H24" s="577">
        <f>Gen!D29</f>
        <v>48117.149999999994</v>
      </c>
      <c r="I24" s="577">
        <f>Gen!F29</f>
        <v>0</v>
      </c>
      <c r="J24" s="616">
        <f>Gen!U29</f>
        <v>3745</v>
      </c>
      <c r="K24" s="621">
        <f>Gen!AL29</f>
        <v>0</v>
      </c>
      <c r="L24" s="612">
        <f t="shared" si="19"/>
        <v>3745</v>
      </c>
      <c r="M24" s="362">
        <f>'Water-Meter'!K64</f>
        <v>474.75590299569024</v>
      </c>
      <c r="N24" s="572">
        <f>'Water-Meter'!E24</f>
        <v>80</v>
      </c>
      <c r="O24" s="564"/>
      <c r="P24" s="688">
        <v>19136</v>
      </c>
      <c r="Q24" s="582">
        <f t="shared" si="2"/>
        <v>0</v>
      </c>
      <c r="R24" s="345">
        <f t="shared" si="7"/>
        <v>0</v>
      </c>
      <c r="S24" s="554">
        <v>6.8</v>
      </c>
      <c r="T24" s="560">
        <v>20351</v>
      </c>
      <c r="U24" s="582">
        <f t="shared" si="3"/>
        <v>23</v>
      </c>
      <c r="V24" s="346">
        <f t="shared" si="23"/>
        <v>156.4</v>
      </c>
      <c r="W24" s="554"/>
      <c r="X24" s="763">
        <v>29498</v>
      </c>
      <c r="Y24" s="582">
        <f t="shared" si="24"/>
        <v>0</v>
      </c>
      <c r="Z24" s="563">
        <f>SUM(Y24*W24)</f>
        <v>0</v>
      </c>
      <c r="AA24" s="570">
        <f t="shared" si="10"/>
        <v>0</v>
      </c>
      <c r="AB24" s="567">
        <v>20741</v>
      </c>
      <c r="AC24" s="552">
        <f>AB24-AB23</f>
        <v>168</v>
      </c>
      <c r="AD24" s="687">
        <v>228192</v>
      </c>
      <c r="AE24" s="154">
        <f t="shared" si="22"/>
        <v>62</v>
      </c>
      <c r="AF24" s="576">
        <f>'Lpg (2)'!B28*2000/85</f>
        <v>2000</v>
      </c>
      <c r="AG24" s="222">
        <f>'Lpg (2)'!C28*1000/85</f>
        <v>23.529411764705884</v>
      </c>
      <c r="AH24" s="589">
        <f>'Lpg (2)'!D28*1000/85</f>
        <v>0</v>
      </c>
      <c r="AI24" s="579">
        <f t="shared" si="20"/>
        <v>4023529.411764706</v>
      </c>
      <c r="AJ24" s="347">
        <f t="shared" si="6"/>
        <v>11764.705882352777</v>
      </c>
      <c r="AK24" s="113"/>
    </row>
    <row r="25" spans="1:37" ht="18.75" x14ac:dyDescent="0.3">
      <c r="A25" s="610">
        <f>Gen!B30</f>
        <v>44550</v>
      </c>
      <c r="B25" s="344">
        <f>'Summery Report'!E24</f>
        <v>6</v>
      </c>
      <c r="C25" s="615">
        <f>Gen!C30</f>
        <v>0.06</v>
      </c>
      <c r="D25" s="577">
        <f>'Summery Report'!E24</f>
        <v>6</v>
      </c>
      <c r="E25" s="577">
        <f t="shared" si="13"/>
        <v>1.3262195121951219</v>
      </c>
      <c r="F25" s="353">
        <f t="shared" si="14"/>
        <v>719.91615853658539</v>
      </c>
      <c r="G25" s="353">
        <f t="shared" si="0"/>
        <v>719.91615853658539</v>
      </c>
      <c r="H25" s="577">
        <f>Gen!D30</f>
        <v>46497.59</v>
      </c>
      <c r="I25" s="577">
        <f>Gen!F30</f>
        <v>0</v>
      </c>
      <c r="J25" s="616">
        <f>Gen!U30</f>
        <v>3257</v>
      </c>
      <c r="K25" s="621">
        <f>Gen!AL30</f>
        <v>0</v>
      </c>
      <c r="L25" s="612">
        <f t="shared" si="19"/>
        <v>3257</v>
      </c>
      <c r="M25" s="362">
        <f>'Water-Meter'!K65</f>
        <v>460.05038144451964</v>
      </c>
      <c r="N25" s="572">
        <f>'Water-Meter'!E25</f>
        <v>76</v>
      </c>
      <c r="O25" s="564"/>
      <c r="P25" s="688">
        <v>19136</v>
      </c>
      <c r="Q25" s="582">
        <f t="shared" si="2"/>
        <v>0</v>
      </c>
      <c r="R25" s="345">
        <f t="shared" si="7"/>
        <v>0</v>
      </c>
      <c r="S25" s="554">
        <v>6.8</v>
      </c>
      <c r="T25" s="560">
        <v>20351</v>
      </c>
      <c r="U25" s="582">
        <f t="shared" si="3"/>
        <v>0</v>
      </c>
      <c r="V25" s="346">
        <f t="shared" si="23"/>
        <v>0</v>
      </c>
      <c r="W25" s="554"/>
      <c r="X25" s="825">
        <v>29498</v>
      </c>
      <c r="Y25" s="582">
        <f t="shared" si="24"/>
        <v>0</v>
      </c>
      <c r="Z25" s="563">
        <f t="shared" si="9"/>
        <v>0</v>
      </c>
      <c r="AA25" s="570">
        <f t="shared" si="10"/>
        <v>0</v>
      </c>
      <c r="AB25" s="567">
        <v>20741</v>
      </c>
      <c r="AC25" s="552">
        <f>AB25-AB24</f>
        <v>0</v>
      </c>
      <c r="AD25" s="687">
        <v>228250</v>
      </c>
      <c r="AE25" s="154">
        <f t="shared" si="22"/>
        <v>58</v>
      </c>
      <c r="AF25" s="576">
        <f>'Lpg (2)'!B29*2000/85</f>
        <v>2000</v>
      </c>
      <c r="AG25" s="222">
        <f>'Lpg (2)'!C29*1000/85</f>
        <v>11.764705882352942</v>
      </c>
      <c r="AH25" s="589">
        <f>'Lpg (2)'!D29*1000/85</f>
        <v>0</v>
      </c>
      <c r="AI25" s="579">
        <f t="shared" si="20"/>
        <v>4011764.7058823528</v>
      </c>
      <c r="AJ25" s="347">
        <f t="shared" si="6"/>
        <v>11764.705882353242</v>
      </c>
      <c r="AK25" s="113"/>
    </row>
    <row r="26" spans="1:37" ht="18.75" x14ac:dyDescent="0.3">
      <c r="A26" s="610">
        <f>Gen!B31</f>
        <v>44551</v>
      </c>
      <c r="B26" s="344">
        <f>'Summery Report'!E25</f>
        <v>9</v>
      </c>
      <c r="C26" s="615">
        <f>Gen!C31</f>
        <v>0.1</v>
      </c>
      <c r="D26" s="577">
        <f>'Summery Report'!E25</f>
        <v>9</v>
      </c>
      <c r="E26" s="577">
        <f t="shared" si="13"/>
        <v>1.3262195121951219</v>
      </c>
      <c r="F26" s="353">
        <f>SUM(J26*E26)/D26</f>
        <v>662.3729674796748</v>
      </c>
      <c r="G26" s="353">
        <f t="shared" si="0"/>
        <v>662.3729674796748</v>
      </c>
      <c r="H26" s="577">
        <f>Gen!D31</f>
        <v>44968.52</v>
      </c>
      <c r="I26" s="577">
        <f>Gen!F31</f>
        <v>0</v>
      </c>
      <c r="J26" s="616">
        <f>Gen!U31</f>
        <v>4495</v>
      </c>
      <c r="K26" s="621">
        <f>Gen!AL31</f>
        <v>0</v>
      </c>
      <c r="L26" s="612">
        <f t="shared" si="19"/>
        <v>4495</v>
      </c>
      <c r="M26" s="362">
        <f>'Water-Meter'!K66</f>
        <v>502.70531733956813</v>
      </c>
      <c r="N26" s="572">
        <f>'Water-Meter'!E26</f>
        <v>69</v>
      </c>
      <c r="O26" s="564"/>
      <c r="P26" s="688">
        <v>19136</v>
      </c>
      <c r="Q26" s="582">
        <f t="shared" si="2"/>
        <v>0</v>
      </c>
      <c r="R26" s="345">
        <f t="shared" si="7"/>
        <v>0</v>
      </c>
      <c r="S26" s="554">
        <v>6.8</v>
      </c>
      <c r="T26" s="560">
        <v>20364</v>
      </c>
      <c r="U26" s="582">
        <f t="shared" si="3"/>
        <v>13</v>
      </c>
      <c r="V26" s="346">
        <f t="shared" si="23"/>
        <v>88.399999999999991</v>
      </c>
      <c r="W26" s="554"/>
      <c r="X26" s="565">
        <v>29498</v>
      </c>
      <c r="Y26" s="582">
        <f t="shared" si="24"/>
        <v>0</v>
      </c>
      <c r="Z26" s="563">
        <f>SUM(Y26*W26)</f>
        <v>0</v>
      </c>
      <c r="AA26" s="570">
        <f t="shared" si="10"/>
        <v>0</v>
      </c>
      <c r="AB26" s="567">
        <v>20827</v>
      </c>
      <c r="AC26" s="552">
        <f>AB26-AB25</f>
        <v>86</v>
      </c>
      <c r="AD26" s="687">
        <v>228307</v>
      </c>
      <c r="AE26" s="154">
        <f t="shared" si="22"/>
        <v>57</v>
      </c>
      <c r="AF26" s="576">
        <f>'Lpg (2)'!B30*2000/85</f>
        <v>1952.9411764705883</v>
      </c>
      <c r="AG26" s="222">
        <f>'Lpg (2)'!C30*1000/85</f>
        <v>0</v>
      </c>
      <c r="AH26" s="589">
        <f>'Lpg (2)'!D30*1000/85</f>
        <v>0</v>
      </c>
      <c r="AI26" s="579">
        <f t="shared" si="20"/>
        <v>3905882.3529411764</v>
      </c>
      <c r="AJ26" s="347">
        <f t="shared" si="6"/>
        <v>105882.35294117639</v>
      </c>
      <c r="AK26" s="113"/>
    </row>
    <row r="27" spans="1:37" ht="18.75" x14ac:dyDescent="0.3">
      <c r="A27" s="610">
        <f>Gen!B32</f>
        <v>44552</v>
      </c>
      <c r="B27" s="344">
        <f>'Summery Report'!E26</f>
        <v>14</v>
      </c>
      <c r="C27" s="615">
        <f>Gen!C32</f>
        <v>0.17</v>
      </c>
      <c r="D27" s="577">
        <f>'Summery Report'!E26</f>
        <v>14</v>
      </c>
      <c r="E27" s="577">
        <f t="shared" si="13"/>
        <v>1.3262195121951219</v>
      </c>
      <c r="F27" s="353">
        <f t="shared" si="14"/>
        <v>378.54094076655053</v>
      </c>
      <c r="G27" s="353">
        <f t="shared" si="0"/>
        <v>378.54094076655053</v>
      </c>
      <c r="H27" s="577">
        <f>Gen!D32</f>
        <v>43036.549999999996</v>
      </c>
      <c r="I27" s="577">
        <f>Gen!F32</f>
        <v>0</v>
      </c>
      <c r="J27" s="616">
        <f>Gen!U32</f>
        <v>3996</v>
      </c>
      <c r="K27" s="621">
        <f>Gen!AL32</f>
        <v>0</v>
      </c>
      <c r="L27" s="612">
        <f t="shared" si="19"/>
        <v>3996</v>
      </c>
      <c r="M27" s="362">
        <f>'Water-Meter'!K67</f>
        <v>539.28489898650196</v>
      </c>
      <c r="N27" s="572">
        <f>'Water-Meter'!E27</f>
        <v>71</v>
      </c>
      <c r="O27" s="564"/>
      <c r="P27" s="688">
        <v>19136</v>
      </c>
      <c r="Q27" s="582">
        <f t="shared" si="2"/>
        <v>0</v>
      </c>
      <c r="R27" s="345">
        <f t="shared" si="7"/>
        <v>0</v>
      </c>
      <c r="S27" s="554">
        <v>6.8</v>
      </c>
      <c r="T27" s="560">
        <v>20379</v>
      </c>
      <c r="U27" s="582">
        <f>T27-T26</f>
        <v>15</v>
      </c>
      <c r="V27" s="346">
        <f t="shared" si="23"/>
        <v>102</v>
      </c>
      <c r="X27" s="565">
        <v>29498</v>
      </c>
      <c r="Y27" s="582">
        <f t="shared" si="24"/>
        <v>0</v>
      </c>
      <c r="Z27" s="563">
        <f>SUM(Y27*X27)</f>
        <v>0</v>
      </c>
      <c r="AA27" s="570">
        <f t="shared" si="10"/>
        <v>0</v>
      </c>
      <c r="AB27" s="567">
        <v>20927</v>
      </c>
      <c r="AC27" s="552">
        <f t="shared" si="11"/>
        <v>100</v>
      </c>
      <c r="AD27" s="687">
        <v>228367</v>
      </c>
      <c r="AE27" s="154">
        <f t="shared" si="22"/>
        <v>60</v>
      </c>
      <c r="AF27" s="576">
        <f>'Lpg (2)'!B31*2000/85</f>
        <v>1905.8823529411766</v>
      </c>
      <c r="AG27" s="222">
        <f>'Lpg (2)'!C31*1000/85</f>
        <v>0</v>
      </c>
      <c r="AH27" s="589">
        <f>'Lpg (2)'!D31*1000/85</f>
        <v>0</v>
      </c>
      <c r="AI27" s="579">
        <f t="shared" si="20"/>
        <v>3811764.7058823532</v>
      </c>
      <c r="AJ27" s="347">
        <f t="shared" si="6"/>
        <v>94117.647058823146</v>
      </c>
      <c r="AK27" s="113"/>
    </row>
    <row r="28" spans="1:37" ht="18.75" x14ac:dyDescent="0.3">
      <c r="A28" s="610">
        <f>Gen!B33</f>
        <v>44553</v>
      </c>
      <c r="B28" s="344">
        <f>'Summery Report'!E27</f>
        <v>14</v>
      </c>
      <c r="C28" s="615">
        <f>Gen!C33</f>
        <v>0.17</v>
      </c>
      <c r="D28" s="577">
        <f>'Summery Report'!E27</f>
        <v>14</v>
      </c>
      <c r="E28" s="577">
        <f t="shared" si="13"/>
        <v>1.3262195121951219</v>
      </c>
      <c r="F28" s="353">
        <f t="shared" si="14"/>
        <v>397.10801393728218</v>
      </c>
      <c r="G28" s="353">
        <f t="shared" si="0"/>
        <v>397.10801393728218</v>
      </c>
      <c r="H28" s="577">
        <f>Gen!D33</f>
        <v>41053.289999999994</v>
      </c>
      <c r="I28" s="577">
        <f>Gen!F33</f>
        <v>0</v>
      </c>
      <c r="J28" s="616">
        <f>Gen!U33</f>
        <v>4192</v>
      </c>
      <c r="K28" s="621">
        <f>Gen!AL33</f>
        <v>0</v>
      </c>
      <c r="L28" s="612">
        <f t="shared" si="19"/>
        <v>4192</v>
      </c>
      <c r="M28" s="362">
        <f>'Water-Meter'!K68</f>
        <v>533.59208844487705</v>
      </c>
      <c r="N28" s="572">
        <f>'Water-Meter'!E28</f>
        <v>85</v>
      </c>
      <c r="O28" s="564"/>
      <c r="P28" s="688">
        <v>19136</v>
      </c>
      <c r="Q28" s="582">
        <f>SUM(P28-P27)</f>
        <v>0</v>
      </c>
      <c r="R28" s="345">
        <f t="shared" si="7"/>
        <v>0</v>
      </c>
      <c r="S28" s="554">
        <v>6.8</v>
      </c>
      <c r="T28" s="560">
        <v>20394</v>
      </c>
      <c r="U28" s="582">
        <f t="shared" si="3"/>
        <v>15</v>
      </c>
      <c r="V28" s="346">
        <f t="shared" si="23"/>
        <v>102</v>
      </c>
      <c r="X28" s="565">
        <v>29498</v>
      </c>
      <c r="Y28" s="582">
        <f t="shared" si="24"/>
        <v>0</v>
      </c>
      <c r="Z28" s="563">
        <f>SUM(Y28*X28)</f>
        <v>0</v>
      </c>
      <c r="AA28" s="570">
        <f t="shared" si="10"/>
        <v>0</v>
      </c>
      <c r="AB28" s="567">
        <v>21022</v>
      </c>
      <c r="AC28" s="552">
        <f t="shared" ref="AC28:AC37" si="25">SUM(AB28-AB27)</f>
        <v>95</v>
      </c>
      <c r="AD28" s="687">
        <v>228426</v>
      </c>
      <c r="AE28" s="154">
        <f t="shared" si="22"/>
        <v>59</v>
      </c>
      <c r="AF28" s="576">
        <f>'Lpg (2)'!B32*2000/85</f>
        <v>1835.2941176470588</v>
      </c>
      <c r="AG28" s="222">
        <f>'Lpg (2)'!C32*1000/85</f>
        <v>0</v>
      </c>
      <c r="AH28" s="589">
        <f>'Lpg (2)'!D32*1000/85</f>
        <v>0</v>
      </c>
      <c r="AI28" s="579">
        <f t="shared" si="20"/>
        <v>3670588.2352941176</v>
      </c>
      <c r="AJ28" s="347">
        <f t="shared" si="6"/>
        <v>141176.47058823565</v>
      </c>
      <c r="AK28" s="113"/>
    </row>
    <row r="29" spans="1:37" ht="18.75" x14ac:dyDescent="0.3">
      <c r="A29" s="610">
        <f>Gen!B34</f>
        <v>44554</v>
      </c>
      <c r="B29" s="344">
        <f>'Summery Report'!E28</f>
        <v>37</v>
      </c>
      <c r="C29" s="615">
        <f>Gen!C34</f>
        <v>0.47</v>
      </c>
      <c r="D29" s="577">
        <f>'Summery Report'!E28</f>
        <v>37</v>
      </c>
      <c r="E29" s="577">
        <f t="shared" si="13"/>
        <v>1.3262195121951219</v>
      </c>
      <c r="F29" s="353">
        <f t="shared" si="14"/>
        <v>177.31913315754778</v>
      </c>
      <c r="G29" s="353">
        <f t="shared" si="0"/>
        <v>177.31913315754778</v>
      </c>
      <c r="H29" s="577">
        <f>Gen!D34</f>
        <v>39249.799999999996</v>
      </c>
      <c r="I29" s="577">
        <f>Gen!F34</f>
        <v>0</v>
      </c>
      <c r="J29" s="616">
        <f>Gen!U34</f>
        <v>4947</v>
      </c>
      <c r="K29" s="621">
        <f>Gen!AL34</f>
        <v>0</v>
      </c>
      <c r="L29" s="612">
        <f t="shared" si="19"/>
        <v>4947</v>
      </c>
      <c r="M29" s="362">
        <f>'Water-Meter'!K69</f>
        <v>502.87937743533132</v>
      </c>
      <c r="N29" s="572">
        <f>'Water-Meter'!E29</f>
        <v>75</v>
      </c>
      <c r="O29" s="564"/>
      <c r="P29" s="688">
        <v>19136</v>
      </c>
      <c r="Q29" s="582">
        <f t="shared" si="2"/>
        <v>0</v>
      </c>
      <c r="R29" s="345">
        <f t="shared" si="7"/>
        <v>0</v>
      </c>
      <c r="S29" s="559">
        <v>6.7</v>
      </c>
      <c r="T29" s="560">
        <v>20414</v>
      </c>
      <c r="U29" s="582">
        <f t="shared" si="3"/>
        <v>20</v>
      </c>
      <c r="V29" s="346">
        <f t="shared" si="23"/>
        <v>134</v>
      </c>
      <c r="W29" s="559"/>
      <c r="X29" s="565">
        <v>29498</v>
      </c>
      <c r="Y29" s="582">
        <f>X29-X28</f>
        <v>0</v>
      </c>
      <c r="Z29" s="563">
        <f t="shared" si="9"/>
        <v>0</v>
      </c>
      <c r="AA29" s="570">
        <f t="shared" si="10"/>
        <v>0</v>
      </c>
      <c r="AB29" s="567">
        <v>21156</v>
      </c>
      <c r="AC29" s="552">
        <f t="shared" si="25"/>
        <v>134</v>
      </c>
      <c r="AD29" s="687">
        <v>228484</v>
      </c>
      <c r="AE29" s="154">
        <f t="shared" si="22"/>
        <v>58</v>
      </c>
      <c r="AF29" s="576">
        <f>'Lpg (2)'!B33*2000/85</f>
        <v>1764.7058823529412</v>
      </c>
      <c r="AG29" s="222">
        <f>'Lpg (2)'!C33*1000/85</f>
        <v>0</v>
      </c>
      <c r="AH29" s="589">
        <f>'Lpg (2)'!D33*1000/85</f>
        <v>0</v>
      </c>
      <c r="AI29" s="579">
        <f t="shared" si="20"/>
        <v>3529411.7647058824</v>
      </c>
      <c r="AJ29" s="347">
        <f t="shared" si="6"/>
        <v>141176.47058823518</v>
      </c>
      <c r="AK29" s="113"/>
    </row>
    <row r="30" spans="1:37" ht="18.75" x14ac:dyDescent="0.3">
      <c r="A30" s="610">
        <f>Gen!B35</f>
        <v>44555</v>
      </c>
      <c r="B30" s="344">
        <f>'Summery Report'!E29</f>
        <v>46</v>
      </c>
      <c r="C30" s="615">
        <f>Gen!C35</f>
        <v>0.57999999999999996</v>
      </c>
      <c r="D30" s="577">
        <f>'Summery Report'!E29</f>
        <v>46</v>
      </c>
      <c r="E30" s="577">
        <f t="shared" si="13"/>
        <v>1.3262195121951219</v>
      </c>
      <c r="F30" s="353">
        <f t="shared" si="14"/>
        <v>141.76133351007422</v>
      </c>
      <c r="G30" s="353">
        <f t="shared" si="0"/>
        <v>141.76133351007422</v>
      </c>
      <c r="H30" s="577">
        <f>Gen!D35</f>
        <v>37137.14</v>
      </c>
      <c r="I30" s="577">
        <f>Gen!F35</f>
        <v>0</v>
      </c>
      <c r="J30" s="616">
        <f>Gen!U35</f>
        <v>4917</v>
      </c>
      <c r="K30" s="621">
        <f>Gen!AL35</f>
        <v>0</v>
      </c>
      <c r="L30" s="612">
        <f t="shared" si="19"/>
        <v>4917</v>
      </c>
      <c r="M30" s="362">
        <f>'Water-Meter'!K70</f>
        <v>476.89669901144242</v>
      </c>
      <c r="N30" s="572">
        <f>'Water-Meter'!E30</f>
        <v>102</v>
      </c>
      <c r="O30" s="564"/>
      <c r="P30" s="688">
        <v>19136</v>
      </c>
      <c r="Q30" s="582">
        <f t="shared" si="2"/>
        <v>0</v>
      </c>
      <c r="R30" s="345">
        <f t="shared" si="7"/>
        <v>0</v>
      </c>
      <c r="S30" s="559">
        <v>6.7</v>
      </c>
      <c r="T30" s="560">
        <v>20427</v>
      </c>
      <c r="U30" s="582">
        <f t="shared" si="3"/>
        <v>13</v>
      </c>
      <c r="V30" s="346">
        <f t="shared" si="23"/>
        <v>87.100000000000009</v>
      </c>
      <c r="W30" s="559"/>
      <c r="X30" s="565">
        <v>29498</v>
      </c>
      <c r="Y30" s="582">
        <f>X30-X29</f>
        <v>0</v>
      </c>
      <c r="Z30" s="563">
        <f t="shared" si="9"/>
        <v>0</v>
      </c>
      <c r="AA30" s="570">
        <f>SUM(Z30*X32)</f>
        <v>0</v>
      </c>
      <c r="AB30" s="567">
        <v>21241</v>
      </c>
      <c r="AC30" s="552">
        <f t="shared" si="25"/>
        <v>85</v>
      </c>
      <c r="AD30" s="687">
        <v>228541</v>
      </c>
      <c r="AE30" s="154">
        <f t="shared" si="22"/>
        <v>57</v>
      </c>
      <c r="AF30" s="576">
        <f>'Lpg (2)'!B34*2000/85</f>
        <v>1694.1176470588234</v>
      </c>
      <c r="AG30" s="222">
        <f>'Lpg (2)'!C34*1000/85</f>
        <v>0</v>
      </c>
      <c r="AH30" s="589">
        <f>'Lpg (2)'!D34*1000/85</f>
        <v>0</v>
      </c>
      <c r="AI30" s="579">
        <f t="shared" si="20"/>
        <v>3388235.2941176468</v>
      </c>
      <c r="AJ30" s="347">
        <f t="shared" si="6"/>
        <v>141176.47058823565</v>
      </c>
      <c r="AK30" s="113"/>
    </row>
    <row r="31" spans="1:37" ht="18.75" x14ac:dyDescent="0.3">
      <c r="A31" s="610">
        <f>Gen!B36</f>
        <v>44556</v>
      </c>
      <c r="B31" s="344">
        <f>'Summery Report'!E30</f>
        <v>35</v>
      </c>
      <c r="C31" s="615">
        <f>Gen!C36</f>
        <v>0.43</v>
      </c>
      <c r="D31" s="577">
        <f>'Summery Report'!E30</f>
        <v>35</v>
      </c>
      <c r="E31" s="577">
        <f t="shared" si="13"/>
        <v>1.3262195121951219</v>
      </c>
      <c r="F31" s="353">
        <f t="shared" si="14"/>
        <v>187.33797909407667</v>
      </c>
      <c r="G31" s="353">
        <f t="shared" si="0"/>
        <v>187.33797909407667</v>
      </c>
      <c r="H31" s="577">
        <f>Gen!D36</f>
        <v>35096.449999999997</v>
      </c>
      <c r="I31" s="577">
        <f>Gen!F36</f>
        <v>0</v>
      </c>
      <c r="J31" s="616">
        <f>Gen!U36</f>
        <v>4944</v>
      </c>
      <c r="K31" s="621">
        <f>Gen!AL36</f>
        <v>0</v>
      </c>
      <c r="L31" s="612">
        <f t="shared" si="19"/>
        <v>4944</v>
      </c>
      <c r="M31" s="362">
        <f>'Water-Meter'!K71</f>
        <v>508.95873228342521</v>
      </c>
      <c r="N31" s="572">
        <f>'Water-Meter'!E31</f>
        <v>106</v>
      </c>
      <c r="O31" s="564"/>
      <c r="P31" s="688">
        <v>19136</v>
      </c>
      <c r="Q31" s="582">
        <f t="shared" si="2"/>
        <v>0</v>
      </c>
      <c r="R31" s="345">
        <f t="shared" si="7"/>
        <v>0</v>
      </c>
      <c r="S31" s="559">
        <v>6.7</v>
      </c>
      <c r="T31" s="560">
        <v>20434</v>
      </c>
      <c r="U31" s="582">
        <f t="shared" si="3"/>
        <v>7</v>
      </c>
      <c r="V31" s="346">
        <f t="shared" si="23"/>
        <v>46.9</v>
      </c>
      <c r="X31" s="565">
        <v>29498</v>
      </c>
      <c r="Y31" s="582">
        <f>X31-X30</f>
        <v>0</v>
      </c>
      <c r="Z31" s="563">
        <f>SUM(Y31*W32)</f>
        <v>0</v>
      </c>
      <c r="AA31" s="570">
        <f>SUM(Z31*X33)</f>
        <v>0</v>
      </c>
      <c r="AB31" s="567">
        <v>21289</v>
      </c>
      <c r="AC31" s="552">
        <f t="shared" si="25"/>
        <v>48</v>
      </c>
      <c r="AD31" s="687">
        <v>228591</v>
      </c>
      <c r="AE31" s="154">
        <f t="shared" si="22"/>
        <v>50</v>
      </c>
      <c r="AF31" s="576">
        <f>'Lpg (2)'!B35*2000/85</f>
        <v>1600</v>
      </c>
      <c r="AG31" s="222">
        <f>'Lpg (2)'!C35*1000/85</f>
        <v>0</v>
      </c>
      <c r="AH31" s="589">
        <f>'Lpg (2)'!D35*1000/85</f>
        <v>0</v>
      </c>
      <c r="AI31" s="579">
        <f t="shared" si="20"/>
        <v>3200000</v>
      </c>
      <c r="AJ31" s="347">
        <f t="shared" si="6"/>
        <v>188235.29411764676</v>
      </c>
      <c r="AK31" s="113"/>
    </row>
    <row r="32" spans="1:37" ht="18.75" x14ac:dyDescent="0.3">
      <c r="A32" s="610">
        <f>Gen!B37</f>
        <v>44557</v>
      </c>
      <c r="B32" s="344">
        <f>'Summery Report'!E31</f>
        <v>31</v>
      </c>
      <c r="C32" s="615">
        <f>Gen!C37</f>
        <v>0.39</v>
      </c>
      <c r="D32" s="577">
        <f>'Summery Report'!E31</f>
        <v>31</v>
      </c>
      <c r="E32" s="577">
        <f t="shared" si="13"/>
        <v>1.3262195121951219</v>
      </c>
      <c r="F32" s="353">
        <f t="shared" si="14"/>
        <v>213.90637293469709</v>
      </c>
      <c r="G32" s="353">
        <f t="shared" si="0"/>
        <v>213.90637293469709</v>
      </c>
      <c r="H32" s="577">
        <f>Gen!D37</f>
        <v>32646.309999999998</v>
      </c>
      <c r="I32" s="577">
        <f>Gen!F37</f>
        <v>0</v>
      </c>
      <c r="J32" s="616">
        <f>Gen!U37</f>
        <v>5000</v>
      </c>
      <c r="K32" s="621">
        <f>Gen!AL37</f>
        <v>0</v>
      </c>
      <c r="L32" s="612">
        <f t="shared" si="19"/>
        <v>5000</v>
      </c>
      <c r="M32" s="362">
        <f>'Water-Meter'!K72</f>
        <v>548.1964885369307</v>
      </c>
      <c r="N32" s="572">
        <f>'Water-Meter'!E32</f>
        <v>102</v>
      </c>
      <c r="O32" s="564">
        <v>1.7</v>
      </c>
      <c r="P32" s="688">
        <v>19044</v>
      </c>
      <c r="Q32" s="582">
        <f t="shared" si="2"/>
        <v>-92</v>
      </c>
      <c r="R32" s="345">
        <f t="shared" si="7"/>
        <v>-156.4</v>
      </c>
      <c r="S32" s="559">
        <v>6.8</v>
      </c>
      <c r="T32" s="560">
        <v>20454</v>
      </c>
      <c r="U32" s="582">
        <f t="shared" si="3"/>
        <v>20</v>
      </c>
      <c r="V32" s="346">
        <f>SUM(U32*S32)</f>
        <v>136</v>
      </c>
      <c r="W32" s="559"/>
      <c r="X32" s="565">
        <v>29498</v>
      </c>
      <c r="Y32" s="582">
        <f t="shared" si="24"/>
        <v>0</v>
      </c>
      <c r="Z32" s="563">
        <f>SUM(Y32*W32)</f>
        <v>0</v>
      </c>
      <c r="AA32" s="570">
        <f>SUM(Z32*X34)</f>
        <v>0</v>
      </c>
      <c r="AB32" s="567">
        <v>21424</v>
      </c>
      <c r="AC32" s="552">
        <f t="shared" si="25"/>
        <v>135</v>
      </c>
      <c r="AD32" s="687">
        <v>228654</v>
      </c>
      <c r="AE32" s="154">
        <f t="shared" si="22"/>
        <v>63</v>
      </c>
      <c r="AF32" s="576">
        <f>'Lpg (2)'!B36*2000/85</f>
        <v>1552.9411764705883</v>
      </c>
      <c r="AG32" s="222">
        <f>'Lpg (2)'!C36*1000/85</f>
        <v>0</v>
      </c>
      <c r="AH32" s="589">
        <f>'Lpg (2)'!D36*1000/85</f>
        <v>0</v>
      </c>
      <c r="AI32" s="579">
        <f t="shared" si="20"/>
        <v>3105882.3529411764</v>
      </c>
      <c r="AJ32" s="347">
        <f t="shared" si="6"/>
        <v>94117.647058823612</v>
      </c>
      <c r="AK32" s="113"/>
    </row>
    <row r="33" spans="1:37" ht="18.75" x14ac:dyDescent="0.3">
      <c r="A33" s="610">
        <f>Gen!B38</f>
        <v>44558</v>
      </c>
      <c r="B33" s="344">
        <f>'Summery Report'!E32</f>
        <v>34</v>
      </c>
      <c r="C33" s="615">
        <f>Gen!C38</f>
        <v>0.43</v>
      </c>
      <c r="D33" s="577">
        <f>'Summery Report'!E32</f>
        <v>34</v>
      </c>
      <c r="E33" s="577">
        <f t="shared" si="13"/>
        <v>1.3262195121951219</v>
      </c>
      <c r="F33" s="353">
        <f t="shared" si="14"/>
        <v>182.39418938307031</v>
      </c>
      <c r="G33" s="353">
        <f t="shared" si="0"/>
        <v>182.39418938307031</v>
      </c>
      <c r="H33" s="577">
        <f>Gen!D38</f>
        <v>30567.859999999997</v>
      </c>
      <c r="I33" s="577">
        <f>Gen!F38</f>
        <v>18000</v>
      </c>
      <c r="J33" s="616">
        <f>Gen!U38</f>
        <v>4676</v>
      </c>
      <c r="K33" s="621">
        <f>Gen!AL38</f>
        <v>0</v>
      </c>
      <c r="L33" s="612">
        <f t="shared" si="19"/>
        <v>4676</v>
      </c>
      <c r="M33" s="362">
        <f>'Water-Meter'!K73</f>
        <v>514.79617539147353</v>
      </c>
      <c r="N33" s="572">
        <f>'Water-Meter'!E33</f>
        <v>109</v>
      </c>
      <c r="O33" s="564"/>
      <c r="P33" s="688">
        <v>19044</v>
      </c>
      <c r="Q33" s="582">
        <f t="shared" si="2"/>
        <v>0</v>
      </c>
      <c r="R33" s="345">
        <f t="shared" si="7"/>
        <v>0</v>
      </c>
      <c r="S33" s="559">
        <v>6.7</v>
      </c>
      <c r="T33" s="560">
        <v>20465</v>
      </c>
      <c r="U33" s="582">
        <f t="shared" si="3"/>
        <v>11</v>
      </c>
      <c r="V33" s="346">
        <f t="shared" si="23"/>
        <v>73.7</v>
      </c>
      <c r="W33" s="559"/>
      <c r="X33" s="565">
        <v>29498</v>
      </c>
      <c r="Y33" s="582">
        <f>X33-X32</f>
        <v>0</v>
      </c>
      <c r="Z33" s="563">
        <f t="shared" si="9"/>
        <v>0</v>
      </c>
      <c r="AA33" s="570">
        <f>SUM(Z33*X35)</f>
        <v>0</v>
      </c>
      <c r="AB33" s="567">
        <v>21501</v>
      </c>
      <c r="AC33" s="552">
        <f t="shared" si="25"/>
        <v>77</v>
      </c>
      <c r="AD33" s="687">
        <v>228715</v>
      </c>
      <c r="AE33" s="154">
        <f t="shared" si="22"/>
        <v>61</v>
      </c>
      <c r="AF33" s="576">
        <f>'Lpg (2)'!B37*2000/85</f>
        <v>1505.8823529411766</v>
      </c>
      <c r="AG33" s="222">
        <f>'Lpg (2)'!C37*1000/85</f>
        <v>0</v>
      </c>
      <c r="AH33" s="589">
        <f>'Lpg (2)'!D37*1000/85</f>
        <v>0</v>
      </c>
      <c r="AI33" s="579">
        <f t="shared" si="20"/>
        <v>3011764.7058823532</v>
      </c>
      <c r="AJ33" s="347">
        <f t="shared" si="6"/>
        <v>94117.647058823146</v>
      </c>
      <c r="AK33" s="113"/>
    </row>
    <row r="34" spans="1:37" ht="18.75" x14ac:dyDescent="0.3">
      <c r="A34" s="610">
        <f>Gen!B39</f>
        <v>44559</v>
      </c>
      <c r="B34" s="344">
        <f>'Summery Report'!E33</f>
        <v>42</v>
      </c>
      <c r="C34" s="615">
        <f>Gen!C39</f>
        <v>0.53</v>
      </c>
      <c r="D34" s="577">
        <f>'Summery Report'!E33</f>
        <v>42</v>
      </c>
      <c r="E34" s="577">
        <f t="shared" si="13"/>
        <v>1.3262195121951219</v>
      </c>
      <c r="F34" s="353">
        <f t="shared" si="14"/>
        <v>154.47299651567943</v>
      </c>
      <c r="G34" s="353">
        <f t="shared" si="0"/>
        <v>154.47299651567943</v>
      </c>
      <c r="H34" s="577">
        <f>Gen!D39</f>
        <v>46327.78</v>
      </c>
      <c r="I34" s="577">
        <f>Gen!F39</f>
        <v>0</v>
      </c>
      <c r="J34" s="616">
        <f>Gen!U39</f>
        <v>4892</v>
      </c>
      <c r="K34" s="621">
        <f>Gen!AL39</f>
        <v>0</v>
      </c>
      <c r="L34" s="612">
        <f t="shared" si="19"/>
        <v>4892</v>
      </c>
      <c r="M34" s="362">
        <f>'Water-Meter'!K74</f>
        <v>514.85392839123097</v>
      </c>
      <c r="N34" s="572">
        <f>'Water-Meter'!E34</f>
        <v>111</v>
      </c>
      <c r="O34" s="564"/>
      <c r="P34" s="688">
        <v>19044</v>
      </c>
      <c r="Q34" s="582">
        <f t="shared" si="2"/>
        <v>0</v>
      </c>
      <c r="R34" s="345">
        <f t="shared" si="7"/>
        <v>0</v>
      </c>
      <c r="S34" s="559">
        <v>6.7</v>
      </c>
      <c r="T34" s="560">
        <v>20481</v>
      </c>
      <c r="U34" s="582">
        <f t="shared" si="3"/>
        <v>16</v>
      </c>
      <c r="V34" s="346">
        <f t="shared" si="23"/>
        <v>107.2</v>
      </c>
      <c r="W34" s="559"/>
      <c r="X34" s="565">
        <v>29498</v>
      </c>
      <c r="Y34" s="582">
        <f t="shared" si="24"/>
        <v>0</v>
      </c>
      <c r="Z34" s="563">
        <f t="shared" si="9"/>
        <v>0</v>
      </c>
      <c r="AA34" s="570">
        <f>SUM(Z34*X36)</f>
        <v>0</v>
      </c>
      <c r="AB34" s="567">
        <v>21602</v>
      </c>
      <c r="AC34" s="552">
        <f t="shared" si="25"/>
        <v>101</v>
      </c>
      <c r="AD34" s="687">
        <v>228778</v>
      </c>
      <c r="AE34" s="154">
        <f t="shared" si="22"/>
        <v>63</v>
      </c>
      <c r="AF34" s="576">
        <f>'Lpg (2)'!B38*2000/85</f>
        <v>1411.7647058823529</v>
      </c>
      <c r="AG34" s="222">
        <f>'Lpg (2)'!C38*1000/85</f>
        <v>0</v>
      </c>
      <c r="AH34" s="589">
        <f>'Lpg (2)'!D38*1000/85</f>
        <v>0</v>
      </c>
      <c r="AI34" s="579">
        <f t="shared" si="20"/>
        <v>2823529.411764706</v>
      </c>
      <c r="AJ34" s="347">
        <f t="shared" si="6"/>
        <v>188235.29411764722</v>
      </c>
      <c r="AK34" s="113"/>
    </row>
    <row r="35" spans="1:37" ht="18.75" x14ac:dyDescent="0.3">
      <c r="A35" s="610">
        <f>Gen!B40</f>
        <v>44560</v>
      </c>
      <c r="B35" s="344">
        <f>'Summery Report'!E34</f>
        <v>48</v>
      </c>
      <c r="C35" s="615">
        <f>Gen!C40</f>
        <v>0.61</v>
      </c>
      <c r="D35" s="577">
        <f>'Summery Report'!E34</f>
        <v>48</v>
      </c>
      <c r="E35" s="577">
        <f t="shared" si="13"/>
        <v>1.3262195121951219</v>
      </c>
      <c r="F35" s="353">
        <f t="shared" si="14"/>
        <v>131.68254573170731</v>
      </c>
      <c r="G35" s="353">
        <f t="shared" si="0"/>
        <v>131.68254573170731</v>
      </c>
      <c r="H35" s="577">
        <f>Gen!D40</f>
        <v>44051.71</v>
      </c>
      <c r="I35" s="577">
        <f>Gen!F40</f>
        <v>0</v>
      </c>
      <c r="J35" s="616">
        <f>Gen!U40</f>
        <v>4766</v>
      </c>
      <c r="K35" s="621">
        <f>Gen!AL40</f>
        <v>0</v>
      </c>
      <c r="L35" s="612">
        <f t="shared" si="19"/>
        <v>4766</v>
      </c>
      <c r="M35" s="362">
        <f>'Water-Meter'!K75</f>
        <v>481.41024678641423</v>
      </c>
      <c r="N35" s="572">
        <f>'Water-Meter'!E35</f>
        <v>102</v>
      </c>
      <c r="O35" s="564"/>
      <c r="P35" s="688">
        <v>19044</v>
      </c>
      <c r="Q35" s="582">
        <f t="shared" si="2"/>
        <v>0</v>
      </c>
      <c r="R35" s="345">
        <f t="shared" si="7"/>
        <v>0</v>
      </c>
      <c r="S35" s="559">
        <v>6.7</v>
      </c>
      <c r="T35" s="560">
        <v>20503</v>
      </c>
      <c r="U35" s="582">
        <f t="shared" si="3"/>
        <v>22</v>
      </c>
      <c r="V35" s="346">
        <f t="shared" si="23"/>
        <v>147.4</v>
      </c>
      <c r="W35" s="559"/>
      <c r="X35" s="565">
        <v>29498</v>
      </c>
      <c r="Y35" s="582">
        <f t="shared" si="24"/>
        <v>0</v>
      </c>
      <c r="Z35" s="563">
        <f t="shared" si="9"/>
        <v>0</v>
      </c>
      <c r="AA35" s="570">
        <f t="shared" si="10"/>
        <v>0</v>
      </c>
      <c r="AB35" s="567">
        <v>21751</v>
      </c>
      <c r="AC35" s="552">
        <f t="shared" si="25"/>
        <v>149</v>
      </c>
      <c r="AD35" s="687">
        <v>228827</v>
      </c>
      <c r="AE35" s="154">
        <f t="shared" si="22"/>
        <v>49</v>
      </c>
      <c r="AF35" s="576">
        <f>'Lpg (2)'!B39*2000/85</f>
        <v>1317.6470588235295</v>
      </c>
      <c r="AG35" s="222">
        <f>'Lpg (2)'!C39*1000/85</f>
        <v>0</v>
      </c>
      <c r="AH35" s="589">
        <f>'Lpg (2)'!D39*1000/85</f>
        <v>0</v>
      </c>
      <c r="AI35" s="579">
        <f t="shared" si="20"/>
        <v>2635294.1176470588</v>
      </c>
      <c r="AJ35" s="347">
        <f t="shared" si="6"/>
        <v>188235.29411764722</v>
      </c>
      <c r="AK35" s="113"/>
    </row>
    <row r="36" spans="1:37" ht="18.75" x14ac:dyDescent="0.3">
      <c r="A36" s="610">
        <f>Gen!B41</f>
        <v>44561</v>
      </c>
      <c r="B36" s="344">
        <f>'Summery Report'!E35</f>
        <v>48</v>
      </c>
      <c r="C36" s="615">
        <f>Gen!C41</f>
        <v>0.61</v>
      </c>
      <c r="D36" s="577">
        <f>'Summery Report'!E35</f>
        <v>48</v>
      </c>
      <c r="E36" s="577">
        <f t="shared" si="13"/>
        <v>1.3262195121951219</v>
      </c>
      <c r="F36" s="353">
        <f t="shared" si="14"/>
        <v>126.04611280487804</v>
      </c>
      <c r="G36" s="353">
        <f t="shared" si="0"/>
        <v>126.04611280487804</v>
      </c>
      <c r="H36" s="577">
        <f>Gen!D41</f>
        <v>41977.68</v>
      </c>
      <c r="I36" s="577">
        <f>Gen!F41</f>
        <v>0</v>
      </c>
      <c r="J36" s="616">
        <f>Gen!U41</f>
        <v>4562</v>
      </c>
      <c r="K36" s="621">
        <f>Gen!AL41</f>
        <v>0</v>
      </c>
      <c r="L36" s="612">
        <f t="shared" si="19"/>
        <v>4562</v>
      </c>
      <c r="M36" s="362">
        <f>'Water-Meter'!K76</f>
        <v>427.70996711416819</v>
      </c>
      <c r="N36" s="572">
        <f>'Water-Meter'!E36</f>
        <v>102</v>
      </c>
      <c r="O36" s="564"/>
      <c r="P36" s="688">
        <v>19044</v>
      </c>
      <c r="Q36" s="582">
        <f t="shared" si="2"/>
        <v>0</v>
      </c>
      <c r="R36" s="345">
        <f t="shared" si="7"/>
        <v>0</v>
      </c>
      <c r="S36" s="559">
        <v>6.7</v>
      </c>
      <c r="T36" s="560">
        <v>20528</v>
      </c>
      <c r="U36" s="582">
        <f t="shared" si="3"/>
        <v>25</v>
      </c>
      <c r="V36" s="346">
        <f t="shared" si="23"/>
        <v>167.5</v>
      </c>
      <c r="W36" s="559"/>
      <c r="X36" s="565">
        <v>29498</v>
      </c>
      <c r="Y36" s="582">
        <f t="shared" si="24"/>
        <v>0</v>
      </c>
      <c r="Z36" s="563">
        <f t="shared" si="9"/>
        <v>0</v>
      </c>
      <c r="AA36" s="570">
        <f t="shared" si="10"/>
        <v>0</v>
      </c>
      <c r="AB36" s="567">
        <v>21907</v>
      </c>
      <c r="AC36" s="552">
        <f t="shared" si="25"/>
        <v>156</v>
      </c>
      <c r="AD36" s="687">
        <v>228878</v>
      </c>
      <c r="AE36" s="154">
        <f t="shared" si="22"/>
        <v>51</v>
      </c>
      <c r="AF36" s="576">
        <f>'Lpg (2)'!B40*2000/85</f>
        <v>1247.0588235294117</v>
      </c>
      <c r="AG36" s="222">
        <f>'Lpg (2)'!C40*1000/85</f>
        <v>0</v>
      </c>
      <c r="AH36" s="589">
        <f>'Lpg (2)'!D40*1000/85</f>
        <v>0</v>
      </c>
      <c r="AI36" s="579">
        <f>SUM(AF36*1000)+(AG36*1000)+(AH36*2000)</f>
        <v>1247058.8235294118</v>
      </c>
      <c r="AJ36" s="347">
        <f t="shared" si="6"/>
        <v>1388235.294117647</v>
      </c>
      <c r="AK36" s="113"/>
    </row>
    <row r="37" spans="1:37" s="8" customFormat="1" ht="17.25" x14ac:dyDescent="0.3">
      <c r="A37" s="611">
        <f>Gen!B42</f>
        <v>0</v>
      </c>
      <c r="B37" s="622">
        <v>0</v>
      </c>
      <c r="C37" s="623"/>
      <c r="D37" s="623"/>
      <c r="E37" s="623"/>
      <c r="F37" s="623"/>
      <c r="G37" s="623"/>
      <c r="H37" s="624"/>
      <c r="I37" s="625"/>
      <c r="J37" s="626">
        <f>SUM(J6:J36)</f>
        <v>121361</v>
      </c>
      <c r="K37" s="627"/>
      <c r="L37" s="613">
        <f t="shared" si="19"/>
        <v>121361</v>
      </c>
      <c r="M37" s="362">
        <f>'Water-Meter'!K77</f>
        <v>452.06799907279299</v>
      </c>
      <c r="N37" s="573">
        <f>'Water-Meter'!E37</f>
        <v>120</v>
      </c>
      <c r="O37" s="561"/>
      <c r="P37" s="562"/>
      <c r="Q37" s="583">
        <f t="shared" ref="Q37" si="26">SUM(P37-P36)</f>
        <v>-19044</v>
      </c>
      <c r="R37" s="584">
        <f t="shared" ref="R37" si="27">SUM(Q37*O37)</f>
        <v>0</v>
      </c>
      <c r="S37" s="561"/>
      <c r="T37" s="562"/>
      <c r="U37" s="583">
        <f t="shared" ref="U37" si="28">T37-T36</f>
        <v>-20528</v>
      </c>
      <c r="V37" s="585">
        <f t="shared" ref="V37" si="29">SUM(U37*S37)</f>
        <v>0</v>
      </c>
      <c r="W37" s="561"/>
      <c r="X37" s="562"/>
      <c r="Y37" s="583">
        <f t="shared" ref="Y37" si="30">X37-X36</f>
        <v>-29498</v>
      </c>
      <c r="Z37" s="586">
        <f t="shared" ref="Z37" si="31">SUM(Y37*W37)</f>
        <v>0</v>
      </c>
      <c r="AA37" s="587">
        <f t="shared" ref="AA37" si="32">SUM(Z37*X39)</f>
        <v>0</v>
      </c>
      <c r="AB37" s="557"/>
      <c r="AC37" s="553">
        <f t="shared" si="25"/>
        <v>-21907</v>
      </c>
      <c r="AD37" s="764"/>
      <c r="AE37" s="558">
        <f t="shared" si="22"/>
        <v>-228878</v>
      </c>
      <c r="AF37" s="590" t="e">
        <f>'Lpg (2)'!#REF!*2000/85</f>
        <v>#REF!</v>
      </c>
      <c r="AG37" s="591" t="e">
        <f>'Lpg (2)'!#REF!*1000/85</f>
        <v>#REF!</v>
      </c>
      <c r="AH37" s="592" t="e">
        <f>'Lpg (2)'!#REF!*1000/85</f>
        <v>#REF!</v>
      </c>
      <c r="AI37" s="580"/>
      <c r="AJ37" s="348">
        <f t="shared" ref="AJ37" si="33">SUM(AI36-AI37)</f>
        <v>1247058.8235294118</v>
      </c>
      <c r="AK37" s="114"/>
    </row>
    <row r="38" spans="1:37" x14ac:dyDescent="0.2">
      <c r="A38" s="228"/>
      <c r="B38" s="229"/>
      <c r="C38" s="230"/>
      <c r="D38" s="230"/>
      <c r="E38" s="230"/>
      <c r="F38" s="230"/>
      <c r="G38" s="230"/>
      <c r="H38" s="229"/>
      <c r="I38" s="229"/>
      <c r="J38" s="231"/>
      <c r="K38" s="231"/>
      <c r="L38" s="231"/>
      <c r="M38" s="232"/>
      <c r="N38" s="232"/>
      <c r="O38" s="232"/>
      <c r="P38" s="232"/>
      <c r="Q38" s="232"/>
      <c r="R38" s="232"/>
      <c r="S38" s="232"/>
      <c r="T38" s="232"/>
      <c r="U38" s="232"/>
      <c r="V38" s="232"/>
      <c r="W38" s="232"/>
      <c r="AA38" s="110"/>
      <c r="AB38" s="110"/>
      <c r="AC38" s="111"/>
      <c r="AD38" s="110"/>
      <c r="AE38" s="111"/>
      <c r="AI38" s="110"/>
      <c r="AJ38" s="110"/>
    </row>
    <row r="39" spans="1:37" x14ac:dyDescent="0.2">
      <c r="C39" s="111"/>
      <c r="J39" s="111"/>
      <c r="X39" s="111"/>
      <c r="AF39" s="111"/>
      <c r="AH39" s="110"/>
    </row>
    <row r="40" spans="1:37" ht="30.75" customHeight="1" x14ac:dyDescent="0.2">
      <c r="C40" s="111"/>
      <c r="J40" s="111"/>
      <c r="X40" s="111"/>
    </row>
    <row r="41" spans="1:37" x14ac:dyDescent="0.2">
      <c r="C41" s="111"/>
      <c r="J41" s="111"/>
    </row>
    <row r="42" spans="1:37" x14ac:dyDescent="0.2">
      <c r="C42" s="111"/>
      <c r="J42" s="111"/>
    </row>
    <row r="43" spans="1:37" ht="15" x14ac:dyDescent="0.25">
      <c r="C43" s="111"/>
      <c r="J43" s="111"/>
      <c r="X43" s="765"/>
    </row>
    <row r="44" spans="1:37" ht="15" x14ac:dyDescent="0.25">
      <c r="C44" s="111"/>
      <c r="J44" s="111"/>
      <c r="X44" s="766"/>
    </row>
    <row r="45" spans="1:37" ht="15" x14ac:dyDescent="0.25">
      <c r="C45" s="111"/>
      <c r="J45" s="111"/>
      <c r="X45" s="765"/>
    </row>
    <row r="46" spans="1:37" ht="15" x14ac:dyDescent="0.25">
      <c r="C46" s="111"/>
      <c r="J46" s="111"/>
      <c r="X46" s="766"/>
    </row>
    <row r="47" spans="1:37" x14ac:dyDescent="0.2">
      <c r="C47" s="111"/>
      <c r="J47" s="111"/>
    </row>
    <row r="48" spans="1:37" x14ac:dyDescent="0.2">
      <c r="C48" s="111"/>
      <c r="J48" s="111"/>
    </row>
    <row r="49" spans="3:10" x14ac:dyDescent="0.2">
      <c r="C49" s="111"/>
      <c r="J49" s="111"/>
    </row>
    <row r="50" spans="3:10" x14ac:dyDescent="0.2">
      <c r="C50" s="111"/>
      <c r="J50" s="111"/>
    </row>
    <row r="51" spans="3:10" x14ac:dyDescent="0.2">
      <c r="C51" s="111"/>
      <c r="J51" s="111"/>
    </row>
    <row r="52" spans="3:10" x14ac:dyDescent="0.2">
      <c r="C52" s="111"/>
      <c r="J52" s="111"/>
    </row>
    <row r="53" spans="3:10" x14ac:dyDescent="0.2">
      <c r="C53" s="111"/>
      <c r="J53" s="111"/>
    </row>
    <row r="54" spans="3:10" x14ac:dyDescent="0.2">
      <c r="C54" s="111"/>
      <c r="J54" s="111"/>
    </row>
    <row r="55" spans="3:10" x14ac:dyDescent="0.2">
      <c r="C55" s="111"/>
      <c r="J55" s="111"/>
    </row>
    <row r="56" spans="3:10" x14ac:dyDescent="0.2">
      <c r="C56" s="111"/>
      <c r="J56" s="111"/>
    </row>
    <row r="57" spans="3:10" x14ac:dyDescent="0.2">
      <c r="C57" s="111"/>
      <c r="J57" s="111"/>
    </row>
    <row r="58" spans="3:10" x14ac:dyDescent="0.2">
      <c r="C58" s="111"/>
      <c r="J58" s="111"/>
    </row>
    <row r="59" spans="3:10" x14ac:dyDescent="0.2">
      <c r="C59" s="111"/>
      <c r="J59" s="111"/>
    </row>
    <row r="60" spans="3:10" x14ac:dyDescent="0.2">
      <c r="C60" s="111"/>
      <c r="J60" s="111"/>
    </row>
    <row r="61" spans="3:10" x14ac:dyDescent="0.2">
      <c r="C61" s="111"/>
      <c r="J61" s="111"/>
    </row>
    <row r="62" spans="3:10" x14ac:dyDescent="0.2">
      <c r="C62" s="111"/>
      <c r="J62" s="111"/>
    </row>
    <row r="63" spans="3:10" x14ac:dyDescent="0.2">
      <c r="C63" s="111"/>
      <c r="J63" s="111"/>
    </row>
    <row r="64" spans="3:10" x14ac:dyDescent="0.2">
      <c r="C64" s="111"/>
      <c r="J64" s="111"/>
    </row>
    <row r="65" spans="3:24" x14ac:dyDescent="0.2">
      <c r="C65" s="111"/>
      <c r="J65" s="111"/>
    </row>
    <row r="66" spans="3:24" ht="15" x14ac:dyDescent="0.25">
      <c r="C66" s="111"/>
      <c r="J66" s="111"/>
      <c r="X66" s="765"/>
    </row>
    <row r="67" spans="3:24" ht="15" x14ac:dyDescent="0.25">
      <c r="C67" s="111"/>
      <c r="J67" s="111"/>
      <c r="X67" s="767"/>
    </row>
    <row r="68" spans="3:24" ht="15" x14ac:dyDescent="0.25">
      <c r="C68" s="111"/>
      <c r="J68" s="111"/>
      <c r="X68" s="767"/>
    </row>
    <row r="69" spans="3:24" ht="15" x14ac:dyDescent="0.25">
      <c r="C69" s="111"/>
      <c r="J69" s="111"/>
      <c r="X69" s="767"/>
    </row>
    <row r="70" spans="3:24" ht="15" x14ac:dyDescent="0.25">
      <c r="C70" s="111"/>
      <c r="J70" s="111"/>
      <c r="X70" s="767"/>
    </row>
    <row r="71" spans="3:24" ht="15" x14ac:dyDescent="0.25">
      <c r="C71" s="111"/>
      <c r="J71" s="111"/>
      <c r="X71" s="767"/>
    </row>
    <row r="72" spans="3:24" x14ac:dyDescent="0.2">
      <c r="C72" s="111"/>
      <c r="J72" s="111"/>
    </row>
    <row r="73" spans="3:24" x14ac:dyDescent="0.2">
      <c r="C73" s="111"/>
      <c r="J73" s="111"/>
    </row>
    <row r="74" spans="3:24" x14ac:dyDescent="0.2">
      <c r="C74" s="111"/>
      <c r="J74" s="111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  <ignoredErrors>
    <ignoredError sqref="R7:R8" evalErro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169C6-73FE-46B1-8587-93DE23DB568F}">
  <dimension ref="A1"/>
  <sheetViews>
    <sheetView workbookViewId="0">
      <selection activeCell="L32" sqref="L32"/>
    </sheetView>
  </sheetViews>
  <sheetFormatPr defaultRowHeight="12.7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S43"/>
  <sheetViews>
    <sheetView zoomScale="85" zoomScaleNormal="85" workbookViewId="0">
      <selection activeCell="A37" sqref="A37:S38"/>
    </sheetView>
  </sheetViews>
  <sheetFormatPr defaultRowHeight="12.75" x14ac:dyDescent="0.2"/>
  <cols>
    <col min="1" max="1" width="14.5703125" customWidth="1"/>
    <col min="2" max="2" width="9" customWidth="1"/>
    <col min="3" max="3" width="1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10.57031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 x14ac:dyDescent="0.25"/>
    <row r="4" spans="1:19" ht="23.25" thickBot="1" x14ac:dyDescent="0.25">
      <c r="A4" s="628" t="s">
        <v>31</v>
      </c>
      <c r="B4" s="629" t="s">
        <v>103</v>
      </c>
      <c r="C4" s="630" t="s">
        <v>104</v>
      </c>
      <c r="D4" s="933" t="s">
        <v>105</v>
      </c>
      <c r="E4" s="934"/>
      <c r="F4" s="935"/>
      <c r="G4" s="936" t="s">
        <v>106</v>
      </c>
      <c r="H4" s="937"/>
      <c r="I4" s="938"/>
      <c r="J4" s="939" t="s">
        <v>107</v>
      </c>
      <c r="K4" s="940"/>
      <c r="L4" s="940"/>
      <c r="M4" s="941"/>
      <c r="N4" s="942" t="s">
        <v>108</v>
      </c>
      <c r="O4" s="943"/>
      <c r="P4" s="944"/>
      <c r="Q4" s="631"/>
      <c r="R4" s="631"/>
      <c r="S4" s="632"/>
    </row>
    <row r="5" spans="1:19" ht="25.5" x14ac:dyDescent="0.2">
      <c r="A5" s="633"/>
      <c r="B5" s="634"/>
      <c r="C5" s="635"/>
      <c r="D5" s="636" t="s">
        <v>109</v>
      </c>
      <c r="E5" s="636" t="s">
        <v>110</v>
      </c>
      <c r="F5" s="636" t="s">
        <v>111</v>
      </c>
      <c r="G5" s="637" t="s">
        <v>112</v>
      </c>
      <c r="H5" s="637" t="s">
        <v>74</v>
      </c>
      <c r="I5" s="638" t="s">
        <v>113</v>
      </c>
      <c r="J5" s="639" t="s">
        <v>114</v>
      </c>
      <c r="K5" s="639" t="s">
        <v>115</v>
      </c>
      <c r="L5" s="639" t="s">
        <v>115</v>
      </c>
      <c r="M5" s="640" t="s">
        <v>116</v>
      </c>
      <c r="N5" s="641" t="s">
        <v>117</v>
      </c>
      <c r="O5" s="641" t="s">
        <v>118</v>
      </c>
      <c r="P5" s="642" t="s">
        <v>119</v>
      </c>
      <c r="Q5" s="643" t="s">
        <v>120</v>
      </c>
      <c r="R5" s="643" t="s">
        <v>121</v>
      </c>
      <c r="S5" s="644" t="s">
        <v>122</v>
      </c>
    </row>
    <row r="6" spans="1:19" ht="14.25" x14ac:dyDescent="0.2">
      <c r="A6" s="363">
        <f>Gen!B11</f>
        <v>44531</v>
      </c>
      <c r="B6" s="337">
        <v>6</v>
      </c>
      <c r="C6" s="828">
        <f>Gen!V11</f>
        <v>0.42833546325878596</v>
      </c>
      <c r="D6" s="130">
        <f>Gen!T11</f>
        <v>1340.69</v>
      </c>
      <c r="E6" s="130">
        <f>Gen!AK11</f>
        <v>55.309999999999995</v>
      </c>
      <c r="F6" s="130">
        <f>Gen!AT11</f>
        <v>0</v>
      </c>
      <c r="G6" s="131">
        <f>'Utility report '!AC6</f>
        <v>35</v>
      </c>
      <c r="H6" s="131">
        <f>'Utility report '!AE6</f>
        <v>73</v>
      </c>
      <c r="I6" s="716">
        <f>'Water-Meter'!E6</f>
        <v>79</v>
      </c>
      <c r="J6" s="132">
        <f>'Lpg (2)'!B10</f>
        <v>85</v>
      </c>
      <c r="K6" s="132">
        <f>'Lpg (2)'!C10</f>
        <v>84</v>
      </c>
      <c r="L6" s="132">
        <f>'Lpg (2)'!D10</f>
        <v>0</v>
      </c>
      <c r="M6" s="6">
        <f>'Lpg (2)'!G10</f>
        <v>101.24399999997696</v>
      </c>
      <c r="N6" s="129">
        <f>D6*1.4</f>
        <v>1876.9659999999999</v>
      </c>
      <c r="O6" s="129">
        <f>E6*1.4</f>
        <v>77.433999999999983</v>
      </c>
      <c r="P6" s="128">
        <f>('Lpg (2)'!G10)*2.38</f>
        <v>240.96071999994516</v>
      </c>
      <c r="Q6" s="129">
        <f>N6+O6+P6</f>
        <v>2195.3607199999451</v>
      </c>
      <c r="R6" s="129">
        <f>N6/B6</f>
        <v>312.82766666666663</v>
      </c>
      <c r="S6" s="893">
        <f>Q6/B6</f>
        <v>365.8934533333242</v>
      </c>
    </row>
    <row r="7" spans="1:19" ht="14.25" x14ac:dyDescent="0.2">
      <c r="A7" s="363">
        <f>Gen!B12</f>
        <v>44532</v>
      </c>
      <c r="B7" s="337">
        <v>5</v>
      </c>
      <c r="C7" s="771">
        <f>Gen!V12</f>
        <v>0.40863446054750402</v>
      </c>
      <c r="D7" s="130">
        <f>Gen!T12</f>
        <v>1268.81</v>
      </c>
      <c r="E7" s="130">
        <f>Gen!AK12</f>
        <v>596.04</v>
      </c>
      <c r="F7" s="130">
        <f>Gen!AT12</f>
        <v>0</v>
      </c>
      <c r="G7" s="131">
        <f>'Utility report '!AC7</f>
        <v>61</v>
      </c>
      <c r="H7" s="131">
        <f>'Utility report '!AE7</f>
        <v>69</v>
      </c>
      <c r="I7" s="716">
        <f>'Water-Meter'!E7</f>
        <v>67</v>
      </c>
      <c r="J7" s="132">
        <f>'Lpg (2)'!B11</f>
        <v>85</v>
      </c>
      <c r="K7" s="132">
        <f>'Lpg (2)'!C11</f>
        <v>80</v>
      </c>
      <c r="L7" s="132">
        <f>'Lpg (2)'!D11</f>
        <v>0</v>
      </c>
      <c r="M7" s="6">
        <f>'Lpg (2)'!G11</f>
        <v>70.311999999982078</v>
      </c>
      <c r="N7" s="129">
        <f>D7*1.4</f>
        <v>1776.3339999999998</v>
      </c>
      <c r="O7" s="129">
        <f t="shared" ref="O7:O9" si="0">E7*1.4</f>
        <v>834.4559999999999</v>
      </c>
      <c r="P7" s="128">
        <f>('Lpg (2)'!G11)*2.38</f>
        <v>167.34255999995733</v>
      </c>
      <c r="Q7" s="129">
        <f t="shared" ref="Q7:Q37" si="1">N7+O7+P7</f>
        <v>2778.1325599999573</v>
      </c>
      <c r="R7" s="129">
        <f t="shared" ref="R7:R38" si="2">N7/B7</f>
        <v>355.26679999999999</v>
      </c>
      <c r="S7" s="893">
        <f t="shared" ref="S7:S11" si="3">Q7/B7</f>
        <v>555.62651199999141</v>
      </c>
    </row>
    <row r="8" spans="1:19" ht="14.25" x14ac:dyDescent="0.2">
      <c r="A8" s="363">
        <f>Gen!B13</f>
        <v>44533</v>
      </c>
      <c r="B8" s="337">
        <v>3</v>
      </c>
      <c r="C8" s="771">
        <f>Gen!V13</f>
        <v>0.40452577319587629</v>
      </c>
      <c r="D8" s="130">
        <f>Gen!T13</f>
        <v>1177.17</v>
      </c>
      <c r="E8" s="130">
        <f>Gen!AK13</f>
        <v>0</v>
      </c>
      <c r="F8" s="130">
        <f>Gen!AT13</f>
        <v>0</v>
      </c>
      <c r="G8" s="131">
        <f>'Utility report '!AC8</f>
        <v>50</v>
      </c>
      <c r="H8" s="131">
        <f>'Utility report '!AE8</f>
        <v>70</v>
      </c>
      <c r="I8" s="716">
        <f>'Water-Meter'!E8</f>
        <v>83</v>
      </c>
      <c r="J8" s="132">
        <f>'Lpg (2)'!B12</f>
        <v>85</v>
      </c>
      <c r="K8" s="132">
        <f>'Lpg (2)'!C12</f>
        <v>74</v>
      </c>
      <c r="L8" s="132">
        <f>'Lpg (2)'!D12</f>
        <v>0</v>
      </c>
      <c r="M8" s="128">
        <f>'Lpg (2)'!G12</f>
        <v>59.576000000035862</v>
      </c>
      <c r="N8" s="129">
        <f t="shared" ref="N8:O36" si="4">D8*1.4</f>
        <v>1648.038</v>
      </c>
      <c r="O8" s="129">
        <f t="shared" si="0"/>
        <v>0</v>
      </c>
      <c r="P8" s="128">
        <f>('Lpg (2)'!G12)*2.38</f>
        <v>141.79088000008534</v>
      </c>
      <c r="Q8" s="129">
        <f t="shared" si="1"/>
        <v>1789.8288800000853</v>
      </c>
      <c r="R8" s="129">
        <f t="shared" si="2"/>
        <v>549.346</v>
      </c>
      <c r="S8" s="364">
        <f t="shared" si="3"/>
        <v>596.60962666669514</v>
      </c>
    </row>
    <row r="9" spans="1:19" ht="14.25" x14ac:dyDescent="0.2">
      <c r="A9" s="363">
        <f>Gen!B14</f>
        <v>44534</v>
      </c>
      <c r="B9" s="337">
        <v>8</v>
      </c>
      <c r="C9" s="771">
        <f>Gen!V14</f>
        <v>0.39319550015202193</v>
      </c>
      <c r="D9" s="130">
        <f>Gen!T14</f>
        <v>1293.22</v>
      </c>
      <c r="E9" s="130">
        <f>Gen!AK14</f>
        <v>199.51</v>
      </c>
      <c r="F9" s="130">
        <f>Gen!AT14</f>
        <v>0</v>
      </c>
      <c r="G9" s="131">
        <f>'Utility report '!AC9</f>
        <v>89</v>
      </c>
      <c r="H9" s="131">
        <f>'Utility report '!AE9</f>
        <v>63</v>
      </c>
      <c r="I9" s="716">
        <f>'Water-Meter'!E9</f>
        <v>67</v>
      </c>
      <c r="J9" s="132">
        <f>'Lpg (2)'!B13</f>
        <v>85</v>
      </c>
      <c r="K9" s="132">
        <f>'Lpg (2)'!C13</f>
        <v>65</v>
      </c>
      <c r="L9" s="132">
        <f>'Lpg (2)'!D13</f>
        <v>0</v>
      </c>
      <c r="M9" s="6">
        <f>'Lpg (2)'!G13</f>
        <v>61.511999999982073</v>
      </c>
      <c r="N9" s="129">
        <f t="shared" si="4"/>
        <v>1810.5079999999998</v>
      </c>
      <c r="O9" s="129">
        <f t="shared" si="0"/>
        <v>279.31399999999996</v>
      </c>
      <c r="P9" s="128">
        <f>('Lpg (2)'!G13)*2.38</f>
        <v>146.39855999995734</v>
      </c>
      <c r="Q9" s="129">
        <f t="shared" si="1"/>
        <v>2236.220559999957</v>
      </c>
      <c r="R9" s="129">
        <f t="shared" si="2"/>
        <v>226.31349999999998</v>
      </c>
      <c r="S9" s="364">
        <f t="shared" si="3"/>
        <v>279.52756999999463</v>
      </c>
    </row>
    <row r="10" spans="1:19" ht="14.25" x14ac:dyDescent="0.2">
      <c r="A10" s="363">
        <f>Gen!B15</f>
        <v>44535</v>
      </c>
      <c r="B10" s="337">
        <v>6</v>
      </c>
      <c r="C10" s="771">
        <f>Gen!V15</f>
        <v>0.39635410044500957</v>
      </c>
      <c r="D10" s="130">
        <f>Gen!T15</f>
        <v>1246.93</v>
      </c>
      <c r="E10" s="130">
        <f>Gen!AK15</f>
        <v>53.33</v>
      </c>
      <c r="F10" s="130">
        <f>Gen!AT15</f>
        <v>0</v>
      </c>
      <c r="G10" s="131">
        <f>'Utility report '!AC10</f>
        <v>103</v>
      </c>
      <c r="H10" s="131">
        <f>'Utility report '!AE10</f>
        <v>47</v>
      </c>
      <c r="I10" s="716">
        <f>'Water-Meter'!E10</f>
        <v>62</v>
      </c>
      <c r="J10" s="132">
        <f>'Lpg (2)'!B14</f>
        <v>85</v>
      </c>
      <c r="K10" s="132">
        <f>'Lpg (2)'!C14</f>
        <v>55</v>
      </c>
      <c r="L10" s="132">
        <f>'Lpg (2)'!D14</f>
        <v>0</v>
      </c>
      <c r="M10" s="6">
        <f>'Lpg (2)'!G14</f>
        <v>87.340000000025611</v>
      </c>
      <c r="N10" s="129">
        <f t="shared" si="4"/>
        <v>1745.702</v>
      </c>
      <c r="O10" s="129">
        <f>E10*1.4</f>
        <v>74.661999999999992</v>
      </c>
      <c r="P10" s="128">
        <f>('Lpg (2)'!G14)*2.38</f>
        <v>207.86920000006094</v>
      </c>
      <c r="Q10" s="129">
        <f t="shared" si="1"/>
        <v>2028.2332000000611</v>
      </c>
      <c r="R10" s="129">
        <f t="shared" si="2"/>
        <v>290.95033333333333</v>
      </c>
      <c r="S10" s="364">
        <f t="shared" si="3"/>
        <v>338.03886666667682</v>
      </c>
    </row>
    <row r="11" spans="1:19" ht="14.25" x14ac:dyDescent="0.2">
      <c r="A11" s="363">
        <f>Gen!B16</f>
        <v>44536</v>
      </c>
      <c r="B11" s="337">
        <v>9</v>
      </c>
      <c r="C11" s="771">
        <f>Gen!V16</f>
        <v>0.39449271050282658</v>
      </c>
      <c r="D11" s="130">
        <f>Gen!T16</f>
        <v>1325.89</v>
      </c>
      <c r="E11" s="130">
        <v>0</v>
      </c>
      <c r="F11" s="130">
        <f>Gen!AT16</f>
        <v>0</v>
      </c>
      <c r="G11" s="131">
        <f>'Utility report '!AC11</f>
        <v>17</v>
      </c>
      <c r="H11" s="131">
        <f>'Utility report '!AE11</f>
        <v>53</v>
      </c>
      <c r="I11" s="716">
        <f>'Water-Meter'!E11</f>
        <v>57</v>
      </c>
      <c r="J11" s="132">
        <f>'Lpg (2)'!B15</f>
        <v>85</v>
      </c>
      <c r="K11" s="132">
        <f>'Lpg (2)'!C15</f>
        <v>50</v>
      </c>
      <c r="L11" s="132">
        <f>'Lpg (2)'!D15</f>
        <v>0</v>
      </c>
      <c r="M11" s="6">
        <f>'Lpg (2)'!G15</f>
        <v>107.49199999996928</v>
      </c>
      <c r="N11" s="129">
        <f t="shared" si="4"/>
        <v>1856.2460000000001</v>
      </c>
      <c r="O11" s="129">
        <f>E11*1.4</f>
        <v>0</v>
      </c>
      <c r="P11" s="128">
        <f>('Lpg (2)'!G15)*2.38</f>
        <v>255.83095999992688</v>
      </c>
      <c r="Q11" s="129">
        <f t="shared" si="1"/>
        <v>2112.0769599999271</v>
      </c>
      <c r="R11" s="129">
        <f t="shared" si="2"/>
        <v>206.24955555555556</v>
      </c>
      <c r="S11" s="364">
        <f t="shared" si="3"/>
        <v>234.67521777776969</v>
      </c>
    </row>
    <row r="12" spans="1:19" ht="14.25" x14ac:dyDescent="0.2">
      <c r="A12" s="363">
        <f>Gen!B17</f>
        <v>44537</v>
      </c>
      <c r="B12" s="337">
        <v>9</v>
      </c>
      <c r="C12" s="771">
        <f>Gen!V17</f>
        <v>0.40501183431952664</v>
      </c>
      <c r="D12" s="130">
        <f>Gen!T17</f>
        <v>1368.94</v>
      </c>
      <c r="E12" s="130">
        <f>Gen!AK17</f>
        <v>135.94</v>
      </c>
      <c r="F12" s="130">
        <f>Gen!AT17</f>
        <v>0</v>
      </c>
      <c r="G12" s="131">
        <f>'Utility report '!AC12</f>
        <v>121</v>
      </c>
      <c r="H12" s="131">
        <f>'Utility report '!AE12</f>
        <v>50</v>
      </c>
      <c r="I12" s="716">
        <f>'Water-Meter'!E12</f>
        <v>73</v>
      </c>
      <c r="J12" s="132">
        <f>'Lpg (2)'!B16</f>
        <v>85</v>
      </c>
      <c r="K12" s="132">
        <f>'Lpg (2)'!C16</f>
        <v>45</v>
      </c>
      <c r="L12" s="132">
        <f>'Lpg (2)'!D16</f>
        <v>0</v>
      </c>
      <c r="M12" s="6">
        <f>'Lpg (2)'!G16</f>
        <v>90.68400000000257</v>
      </c>
      <c r="N12" s="129">
        <f t="shared" si="4"/>
        <v>1916.5159999999998</v>
      </c>
      <c r="O12" s="129">
        <f t="shared" si="4"/>
        <v>190.31599999999997</v>
      </c>
      <c r="P12" s="128">
        <f>('Lpg (2)'!G16)*2.38</f>
        <v>215.82792000000612</v>
      </c>
      <c r="Q12" s="129">
        <f t="shared" si="1"/>
        <v>2322.659920000006</v>
      </c>
      <c r="R12" s="129">
        <f t="shared" si="2"/>
        <v>212.94622222222222</v>
      </c>
      <c r="S12" s="364">
        <f t="shared" ref="S12:S37" si="5">Q12/B12</f>
        <v>258.07332444444512</v>
      </c>
    </row>
    <row r="13" spans="1:19" ht="14.25" x14ac:dyDescent="0.2">
      <c r="A13" s="363">
        <f>Gen!B18</f>
        <v>44538</v>
      </c>
      <c r="B13" s="337">
        <v>12</v>
      </c>
      <c r="C13" s="771">
        <f>Gen!V18</f>
        <v>0.41714909885308571</v>
      </c>
      <c r="D13" s="130">
        <f>Gen!T18</f>
        <v>1527.6</v>
      </c>
      <c r="E13" s="130">
        <f>Gen!AK18</f>
        <v>83.59</v>
      </c>
      <c r="F13" s="130">
        <f>Gen!AT18</f>
        <v>0</v>
      </c>
      <c r="G13" s="131">
        <f>'Utility report '!AC13</f>
        <v>170</v>
      </c>
      <c r="H13" s="131">
        <f>'Utility report '!AE13</f>
        <v>63</v>
      </c>
      <c r="I13" s="716">
        <f>'Water-Meter'!E13</f>
        <v>80</v>
      </c>
      <c r="J13" s="132">
        <f>'Lpg (2)'!B17</f>
        <v>85</v>
      </c>
      <c r="K13" s="132">
        <f>'Lpg (2)'!C17</f>
        <v>40</v>
      </c>
      <c r="L13" s="132">
        <f>'Lpg (2)'!D17</f>
        <v>0</v>
      </c>
      <c r="M13" s="128">
        <f>'Lpg (2)'!G17</f>
        <v>99.879999999987206</v>
      </c>
      <c r="N13" s="129">
        <f t="shared" si="4"/>
        <v>2138.64</v>
      </c>
      <c r="O13" s="129">
        <f t="shared" si="4"/>
        <v>117.026</v>
      </c>
      <c r="P13" s="128">
        <f>('Lpg (2)'!G17)*2.38</f>
        <v>237.71439999996954</v>
      </c>
      <c r="Q13" s="129">
        <f t="shared" si="1"/>
        <v>2493.3803999999691</v>
      </c>
      <c r="R13" s="129">
        <f t="shared" si="2"/>
        <v>178.22</v>
      </c>
      <c r="S13" s="364">
        <f t="shared" si="5"/>
        <v>207.78169999999741</v>
      </c>
    </row>
    <row r="14" spans="1:19" ht="14.25" x14ac:dyDescent="0.2">
      <c r="A14" s="363">
        <f>Gen!B19</f>
        <v>44539</v>
      </c>
      <c r="B14" s="337">
        <v>10</v>
      </c>
      <c r="C14" s="771">
        <f>Gen!V19</f>
        <v>0.40354810238305389</v>
      </c>
      <c r="D14" s="130">
        <f>Gen!T19</f>
        <v>1371.66</v>
      </c>
      <c r="E14" s="130">
        <f>Gen!AK19</f>
        <v>51.98</v>
      </c>
      <c r="F14" s="130">
        <f>Gen!AT19</f>
        <v>0</v>
      </c>
      <c r="G14" s="131">
        <f>'Utility report '!AC14</f>
        <v>0</v>
      </c>
      <c r="H14" s="131">
        <f>'Utility report '!AE14</f>
        <v>55</v>
      </c>
      <c r="I14" s="716">
        <f>'Water-Meter'!E14</f>
        <v>65</v>
      </c>
      <c r="J14" s="132">
        <f>'Lpg (2)'!B18</f>
        <v>85</v>
      </c>
      <c r="K14" s="132">
        <f>'Lpg (2)'!C18</f>
        <v>35</v>
      </c>
      <c r="L14" s="132">
        <f>'Lpg (2)'!D18</f>
        <v>0</v>
      </c>
      <c r="M14" s="6">
        <f>'Lpg (2)'!G18</f>
        <v>108.98800000001793</v>
      </c>
      <c r="N14" s="129">
        <f t="shared" si="4"/>
        <v>1920.3240000000001</v>
      </c>
      <c r="O14" s="129">
        <f t="shared" si="4"/>
        <v>72.771999999999991</v>
      </c>
      <c r="P14" s="128">
        <f>('Lpg (2)'!G18)*2.38</f>
        <v>259.39144000004268</v>
      </c>
      <c r="Q14" s="129">
        <f t="shared" si="1"/>
        <v>2252.4874400000426</v>
      </c>
      <c r="R14" s="129">
        <f t="shared" si="2"/>
        <v>192.0324</v>
      </c>
      <c r="S14" s="364">
        <f t="shared" si="5"/>
        <v>225.24874400000425</v>
      </c>
    </row>
    <row r="15" spans="1:19" ht="14.25" x14ac:dyDescent="0.2">
      <c r="A15" s="363">
        <f>Gen!B20</f>
        <v>44540</v>
      </c>
      <c r="B15" s="337">
        <v>12</v>
      </c>
      <c r="C15" s="771">
        <f>Gen!V20</f>
        <v>0.39166569767441856</v>
      </c>
      <c r="D15" s="130">
        <f>Gen!T20</f>
        <v>1347.33</v>
      </c>
      <c r="E15" s="130">
        <f>Gen!AK20</f>
        <v>448.65</v>
      </c>
      <c r="F15" s="130">
        <f>Gen!AT20</f>
        <v>0</v>
      </c>
      <c r="G15" s="131">
        <f>'Utility report '!AC15</f>
        <v>167</v>
      </c>
      <c r="H15" s="131">
        <f>'Utility report '!AE15</f>
        <v>54</v>
      </c>
      <c r="I15" s="716">
        <f>'Water-Meter'!E15</f>
        <v>71</v>
      </c>
      <c r="J15" s="132">
        <f>'Lpg (2)'!B19</f>
        <v>85</v>
      </c>
      <c r="K15" s="132">
        <f>'Lpg (2)'!C19</f>
        <v>30</v>
      </c>
      <c r="L15" s="132">
        <f>'Lpg (2)'!D19</f>
        <v>0</v>
      </c>
      <c r="M15" s="6">
        <f>'Lpg (2)'!G19</f>
        <v>110.00000000000001</v>
      </c>
      <c r="N15" s="129">
        <f t="shared" si="4"/>
        <v>1886.2619999999997</v>
      </c>
      <c r="O15" s="129">
        <f t="shared" si="4"/>
        <v>628.1099999999999</v>
      </c>
      <c r="P15" s="128">
        <f>('Lpg (2)'!G19)*2.38</f>
        <v>261.8</v>
      </c>
      <c r="Q15" s="129">
        <f t="shared" si="1"/>
        <v>2776.1719999999996</v>
      </c>
      <c r="R15" s="129">
        <f t="shared" si="2"/>
        <v>157.18849999999998</v>
      </c>
      <c r="S15" s="364">
        <f t="shared" si="5"/>
        <v>231.34766666666664</v>
      </c>
    </row>
    <row r="16" spans="1:19" ht="14.25" x14ac:dyDescent="0.2">
      <c r="A16" s="363">
        <f>Gen!B21</f>
        <v>44541</v>
      </c>
      <c r="B16" s="337">
        <v>12</v>
      </c>
      <c r="C16" s="771">
        <f>Gen!V21</f>
        <v>0.40930465367965368</v>
      </c>
      <c r="D16" s="130">
        <f>Gen!T21</f>
        <v>1512.79</v>
      </c>
      <c r="E16" s="130">
        <f>Gen!AK21</f>
        <v>37.869999999999997</v>
      </c>
      <c r="F16" s="130">
        <f>Gen!AT9</f>
        <v>0</v>
      </c>
      <c r="G16" s="131">
        <f>'Utility report '!AC16</f>
        <v>15</v>
      </c>
      <c r="H16" s="131">
        <f>'Utility report '!AE16</f>
        <v>60</v>
      </c>
      <c r="I16" s="716">
        <f>'Water-Meter'!E16</f>
        <v>72</v>
      </c>
      <c r="J16" s="132">
        <f>'Lpg (2)'!B20</f>
        <v>85</v>
      </c>
      <c r="K16" s="132">
        <f>'Lpg (2)'!C20</f>
        <v>22</v>
      </c>
      <c r="L16" s="132">
        <f>'Lpg (2)'!D20</f>
        <v>0</v>
      </c>
      <c r="M16" s="6">
        <f>'Lpg (2)'!G20</f>
        <v>105.37999999998721</v>
      </c>
      <c r="N16" s="129">
        <f t="shared" si="4"/>
        <v>2117.9059999999999</v>
      </c>
      <c r="O16" s="129">
        <f t="shared" si="4"/>
        <v>53.017999999999994</v>
      </c>
      <c r="P16" s="128">
        <f>('Lpg (2)'!G20)*2.38</f>
        <v>250.80439999996955</v>
      </c>
      <c r="Q16" s="129">
        <f t="shared" si="1"/>
        <v>2421.7283999999695</v>
      </c>
      <c r="R16" s="129">
        <f t="shared" si="2"/>
        <v>176.49216666666666</v>
      </c>
      <c r="S16" s="364">
        <f t="shared" si="5"/>
        <v>201.81069999999747</v>
      </c>
    </row>
    <row r="17" spans="1:19" ht="14.25" x14ac:dyDescent="0.2">
      <c r="A17" s="363">
        <f>Gen!B22</f>
        <v>44542</v>
      </c>
      <c r="B17" s="337">
        <v>12</v>
      </c>
      <c r="C17" s="771">
        <f>Gen!V22</f>
        <v>0.40736149204607791</v>
      </c>
      <c r="D17" s="130">
        <f>Gen!T22</f>
        <v>1485.24</v>
      </c>
      <c r="E17" s="130">
        <f>Gen!AK22</f>
        <v>68.16</v>
      </c>
      <c r="F17" s="130">
        <f>Gen!AT22</f>
        <v>0</v>
      </c>
      <c r="G17" s="131">
        <f>'Utility report '!AC17</f>
        <v>157</v>
      </c>
      <c r="H17" s="131">
        <f>'Utility report '!AE17</f>
        <v>62</v>
      </c>
      <c r="I17" s="716">
        <f>'Water-Meter'!E17</f>
        <v>65</v>
      </c>
      <c r="J17" s="132">
        <f>'Lpg (2)'!B21</f>
        <v>85</v>
      </c>
      <c r="K17" s="132">
        <f>'Lpg (2)'!C22</f>
        <v>10</v>
      </c>
      <c r="L17" s="132">
        <f>'Lpg (2)'!D21</f>
        <v>0</v>
      </c>
      <c r="M17" s="6">
        <f>'Lpg (2)'!G21</f>
        <v>106.65600000002306</v>
      </c>
      <c r="N17" s="129">
        <f t="shared" si="4"/>
        <v>2079.3359999999998</v>
      </c>
      <c r="O17" s="129">
        <f t="shared" si="4"/>
        <v>95.423999999999992</v>
      </c>
      <c r="P17" s="128">
        <f>('Lpg (2)'!G21)*2.38</f>
        <v>253.84128000005487</v>
      </c>
      <c r="Q17" s="129">
        <f t="shared" si="1"/>
        <v>2428.6012800000544</v>
      </c>
      <c r="R17" s="129">
        <f t="shared" si="2"/>
        <v>173.27799999999999</v>
      </c>
      <c r="S17" s="364">
        <f t="shared" si="5"/>
        <v>202.38344000000453</v>
      </c>
    </row>
    <row r="18" spans="1:19" ht="14.25" x14ac:dyDescent="0.2">
      <c r="A18" s="363">
        <f>Gen!B23</f>
        <v>44543</v>
      </c>
      <c r="B18" s="337">
        <v>15</v>
      </c>
      <c r="C18" s="771">
        <f>Gen!V23</f>
        <v>0.39819258885807918</v>
      </c>
      <c r="D18" s="130">
        <f>Gen!T23</f>
        <v>1579.63</v>
      </c>
      <c r="E18" s="130">
        <f>Gen!AK23</f>
        <v>103.25</v>
      </c>
      <c r="F18" s="130">
        <f>Gen!AT23</f>
        <v>0</v>
      </c>
      <c r="G18" s="131">
        <f>'Utility report '!AC18</f>
        <v>44</v>
      </c>
      <c r="H18" s="131">
        <f>'Utility report '!AE18</f>
        <v>66</v>
      </c>
      <c r="I18" s="716">
        <f>'Water-Meter'!E18</f>
        <v>68</v>
      </c>
      <c r="J18" s="132">
        <f>'Lpg (2)'!B22</f>
        <v>85</v>
      </c>
      <c r="K18" s="132">
        <f>'Lpg (2)'!C23</f>
        <v>7</v>
      </c>
      <c r="L18" s="132">
        <f>'Lpg (2)'!D22</f>
        <v>0</v>
      </c>
      <c r="M18" s="6">
        <f>'Lpg (2)'!G22</f>
        <v>108.02000000001281</v>
      </c>
      <c r="N18" s="129">
        <f t="shared" si="4"/>
        <v>2211.482</v>
      </c>
      <c r="O18" s="129">
        <f t="shared" si="4"/>
        <v>144.54999999999998</v>
      </c>
      <c r="P18" s="128">
        <f>('Lpg (2)'!G22)*2.38</f>
        <v>257.08760000003048</v>
      </c>
      <c r="Q18" s="129">
        <f t="shared" si="1"/>
        <v>2613.1196000000305</v>
      </c>
      <c r="R18" s="129">
        <f t="shared" si="2"/>
        <v>147.43213333333333</v>
      </c>
      <c r="S18" s="364">
        <f t="shared" si="5"/>
        <v>174.20797333333536</v>
      </c>
    </row>
    <row r="19" spans="1:19" ht="14.25" x14ac:dyDescent="0.2">
      <c r="A19" s="363">
        <f>Gen!B24</f>
        <v>44544</v>
      </c>
      <c r="B19" s="337">
        <v>16</v>
      </c>
      <c r="C19" s="771">
        <f>Gen!V24</f>
        <v>0.39349750806215189</v>
      </c>
      <c r="D19" s="130">
        <f>Gen!T24</f>
        <v>1342.22</v>
      </c>
      <c r="E19" s="130">
        <f>Gen!AK24</f>
        <v>194.5</v>
      </c>
      <c r="F19" s="130">
        <f>Gen!AT24</f>
        <v>0</v>
      </c>
      <c r="G19" s="131">
        <f>'Utility report '!AC19</f>
        <v>167</v>
      </c>
      <c r="H19" s="131">
        <f>'Utility report '!AE19</f>
        <v>56</v>
      </c>
      <c r="I19" s="716">
        <f>'Water-Meter'!E19</f>
        <v>78</v>
      </c>
      <c r="J19" s="132">
        <f>'Lpg (2)'!B23</f>
        <v>85</v>
      </c>
      <c r="K19" s="132">
        <f>'Lpg (2)'!C24</f>
        <v>6</v>
      </c>
      <c r="L19" s="132">
        <f>'Lpg (2)'!D23</f>
        <v>0</v>
      </c>
      <c r="M19" s="6">
        <f>'Lpg (2)'!G23</f>
        <v>103.66399999998977</v>
      </c>
      <c r="N19" s="129">
        <f t="shared" si="4"/>
        <v>1879.1079999999999</v>
      </c>
      <c r="O19" s="129">
        <f t="shared" si="4"/>
        <v>272.29999999999995</v>
      </c>
      <c r="P19" s="128">
        <f>('Lpg (2)'!G23)*2.38</f>
        <v>246.72031999997563</v>
      </c>
      <c r="Q19" s="129">
        <f t="shared" si="1"/>
        <v>2398.1283199999757</v>
      </c>
      <c r="R19" s="129">
        <f t="shared" si="2"/>
        <v>117.44425</v>
      </c>
      <c r="S19" s="364">
        <f t="shared" si="5"/>
        <v>149.88301999999848</v>
      </c>
    </row>
    <row r="20" spans="1:19" ht="14.25" x14ac:dyDescent="0.2">
      <c r="A20" s="363">
        <f>Gen!B25</f>
        <v>44545</v>
      </c>
      <c r="B20" s="337">
        <v>17</v>
      </c>
      <c r="C20" s="771">
        <f>Gen!V25</f>
        <v>0.4130763280041258</v>
      </c>
      <c r="D20" s="130">
        <f>Gen!T25</f>
        <v>1601.9099999999999</v>
      </c>
      <c r="E20" s="130">
        <f>Gen!AK25</f>
        <v>0</v>
      </c>
      <c r="F20" s="130">
        <f>Gen!AT25</f>
        <v>0</v>
      </c>
      <c r="G20" s="131">
        <f>'Utility report '!AC20</f>
        <v>104</v>
      </c>
      <c r="H20" s="131">
        <f>'Utility report '!AE20</f>
        <v>124</v>
      </c>
      <c r="I20" s="716">
        <f>'Water-Meter'!E20</f>
        <v>72</v>
      </c>
      <c r="J20" s="132">
        <f>'Lpg (2)'!B24</f>
        <v>85</v>
      </c>
      <c r="K20" s="132">
        <f>'Lpg (2)'!C25</f>
        <v>5</v>
      </c>
      <c r="L20" s="132">
        <f>'Lpg (2)'!D24</f>
        <v>0</v>
      </c>
      <c r="M20" s="6">
        <f>'Lpg (2)'!G24</f>
        <v>98.427999999979519</v>
      </c>
      <c r="N20" s="129">
        <f t="shared" si="4"/>
        <v>2242.6739999999995</v>
      </c>
      <c r="O20" s="129">
        <f t="shared" si="4"/>
        <v>0</v>
      </c>
      <c r="P20" s="128">
        <f>('Lpg (2)'!G24)*2.38</f>
        <v>234.25863999995124</v>
      </c>
      <c r="Q20" s="129">
        <f t="shared" si="1"/>
        <v>2476.9326399999509</v>
      </c>
      <c r="R20" s="129">
        <f t="shared" si="2"/>
        <v>131.92199999999997</v>
      </c>
      <c r="S20" s="364">
        <f t="shared" si="5"/>
        <v>145.7019199999971</v>
      </c>
    </row>
    <row r="21" spans="1:19" ht="14.25" x14ac:dyDescent="0.2">
      <c r="A21" s="363">
        <f>Gen!B26</f>
        <v>44546</v>
      </c>
      <c r="B21" s="337">
        <v>15</v>
      </c>
      <c r="C21" s="771">
        <f>Gen!V26</f>
        <v>0.39082693292370713</v>
      </c>
      <c r="D21" s="130">
        <f>Gen!T26</f>
        <v>1526.57</v>
      </c>
      <c r="E21" s="130">
        <f>Gen!AK26</f>
        <v>176.76</v>
      </c>
      <c r="F21" s="130">
        <f>Gen!AT26</f>
        <v>0</v>
      </c>
      <c r="G21" s="131">
        <f>'Utility report '!AC21</f>
        <v>82</v>
      </c>
      <c r="H21" s="131">
        <f>'Utility report '!AE21</f>
        <v>58</v>
      </c>
      <c r="I21" s="716">
        <f>'Water-Meter'!E21</f>
        <v>73</v>
      </c>
      <c r="J21" s="132">
        <f>'Lpg (2)'!B25</f>
        <v>85</v>
      </c>
      <c r="K21" s="132">
        <f>'Lpg (2)'!C25</f>
        <v>5</v>
      </c>
      <c r="L21" s="132">
        <f>'Lpg (2)'!D25</f>
        <v>0</v>
      </c>
      <c r="M21" s="6">
        <f>'Lpg (2)'!G25</f>
        <v>105.02799999997951</v>
      </c>
      <c r="N21" s="129">
        <f t="shared" si="4"/>
        <v>2137.1979999999999</v>
      </c>
      <c r="O21" s="129">
        <f t="shared" si="4"/>
        <v>247.46399999999997</v>
      </c>
      <c r="P21" s="128">
        <f>('Lpg (2)'!G25)*2.38</f>
        <v>249.96663999995124</v>
      </c>
      <c r="Q21" s="129">
        <f t="shared" si="1"/>
        <v>2634.6286399999512</v>
      </c>
      <c r="R21" s="129">
        <f t="shared" si="2"/>
        <v>142.47986666666665</v>
      </c>
      <c r="S21" s="364">
        <f t="shared" si="5"/>
        <v>175.64190933333009</v>
      </c>
    </row>
    <row r="22" spans="1:19" ht="14.25" x14ac:dyDescent="0.2">
      <c r="A22" s="363">
        <f>Gen!B27</f>
        <v>44547</v>
      </c>
      <c r="B22" s="337">
        <v>15</v>
      </c>
      <c r="C22" s="771">
        <f>Gen!V27</f>
        <v>0.40365834218916041</v>
      </c>
      <c r="D22" s="130">
        <f>Gen!T27</f>
        <v>1519.37</v>
      </c>
      <c r="E22" s="130">
        <f>Gen!AK27</f>
        <v>115.53</v>
      </c>
      <c r="F22" s="130">
        <f>Gen!AT27</f>
        <v>0</v>
      </c>
      <c r="G22" s="131">
        <f>'Utility report '!AC22</f>
        <v>7</v>
      </c>
      <c r="H22" s="131">
        <f>'Utility report '!AE22</f>
        <v>54</v>
      </c>
      <c r="I22" s="716">
        <f>'Water-Meter'!E22</f>
        <v>73</v>
      </c>
      <c r="J22" s="132">
        <f>'Lpg (2)'!B26</f>
        <v>85</v>
      </c>
      <c r="K22" s="132">
        <f>'Lpg (2)'!C26</f>
        <v>4</v>
      </c>
      <c r="L22" s="132">
        <f>'Lpg (2)'!D26</f>
        <v>0</v>
      </c>
      <c r="M22" s="6">
        <f>'Lpg (2)'!G26</f>
        <v>101.72800000004355</v>
      </c>
      <c r="N22" s="129">
        <f t="shared" si="4"/>
        <v>2127.1179999999999</v>
      </c>
      <c r="O22" s="129">
        <f t="shared" si="4"/>
        <v>161.74199999999999</v>
      </c>
      <c r="P22" s="128">
        <f>('Lpg (2)'!G26)*2.38</f>
        <v>242.11264000010365</v>
      </c>
      <c r="Q22" s="129">
        <f t="shared" si="1"/>
        <v>2530.9726400001036</v>
      </c>
      <c r="R22" s="129">
        <f t="shared" si="2"/>
        <v>141.80786666666665</v>
      </c>
      <c r="S22" s="364">
        <f t="shared" si="5"/>
        <v>168.73150933334026</v>
      </c>
    </row>
    <row r="23" spans="1:19" ht="14.25" x14ac:dyDescent="0.2">
      <c r="A23" s="363">
        <f>Gen!B28</f>
        <v>44548</v>
      </c>
      <c r="B23" s="337">
        <v>13</v>
      </c>
      <c r="C23" s="771">
        <f>Gen!V28</f>
        <v>0.3945440494590417</v>
      </c>
      <c r="D23" s="130">
        <f>Gen!T28</f>
        <v>1531.62</v>
      </c>
      <c r="E23" s="130">
        <f>Gen!AK28</f>
        <v>347</v>
      </c>
      <c r="F23" s="130">
        <f>Gen!AT28</f>
        <v>0</v>
      </c>
      <c r="G23" s="131">
        <f>'Utility report '!AC23</f>
        <v>152</v>
      </c>
      <c r="H23" s="131">
        <f>'Utility report '!AE23</f>
        <v>63</v>
      </c>
      <c r="I23" s="716">
        <f>'Water-Meter'!E23</f>
        <v>85</v>
      </c>
      <c r="J23" s="132">
        <f>'Lpg (2)'!B27</f>
        <v>85</v>
      </c>
      <c r="K23" s="132">
        <f>'Lpg (2)'!C27</f>
        <v>3</v>
      </c>
      <c r="L23" s="132">
        <f>'Lpg (2)'!D27</f>
        <v>0</v>
      </c>
      <c r="M23" s="6">
        <f>'Lpg (2)'!G27</f>
        <v>107.27199999995646</v>
      </c>
      <c r="N23" s="129">
        <f t="shared" si="4"/>
        <v>2144.2679999999996</v>
      </c>
      <c r="O23" s="129">
        <f t="shared" si="4"/>
        <v>485.79999999999995</v>
      </c>
      <c r="P23" s="128">
        <f>('Lpg (2)'!G27)*2.38</f>
        <v>255.30735999989636</v>
      </c>
      <c r="Q23" s="129">
        <f t="shared" si="1"/>
        <v>2885.3753599998959</v>
      </c>
      <c r="R23" s="129">
        <f t="shared" si="2"/>
        <v>164.94369230769229</v>
      </c>
      <c r="S23" s="364">
        <f t="shared" si="5"/>
        <v>221.95195076922275</v>
      </c>
    </row>
    <row r="24" spans="1:19" ht="14.25" x14ac:dyDescent="0.2">
      <c r="A24" s="363">
        <f>Gen!B29</f>
        <v>44549</v>
      </c>
      <c r="B24" s="337">
        <v>10</v>
      </c>
      <c r="C24" s="771">
        <f>Gen!V29</f>
        <v>0.42474232309746324</v>
      </c>
      <c r="D24" s="130">
        <f>Gen!T29</f>
        <v>1590.6599999999999</v>
      </c>
      <c r="E24" s="130">
        <f>Gen!AK29</f>
        <v>28.9</v>
      </c>
      <c r="F24" s="130">
        <f>Gen!AT29</f>
        <v>0</v>
      </c>
      <c r="G24" s="131">
        <f>'Utility report '!AC24</f>
        <v>168</v>
      </c>
      <c r="H24" s="131">
        <f>'Utility report '!AE24</f>
        <v>62</v>
      </c>
      <c r="I24" s="716">
        <f>'Water-Meter'!E24</f>
        <v>80</v>
      </c>
      <c r="J24" s="132">
        <f>'Lpg (2)'!B28</f>
        <v>85</v>
      </c>
      <c r="K24" s="132">
        <f>'Lpg (2)'!C28</f>
        <v>2</v>
      </c>
      <c r="L24" s="132">
        <f>'Lpg (2)'!D28</f>
        <v>0</v>
      </c>
      <c r="M24" s="6">
        <f>'Lpg (2)'!G28</f>
        <v>94.468000000005134</v>
      </c>
      <c r="N24" s="129">
        <f t="shared" si="4"/>
        <v>2226.9239999999995</v>
      </c>
      <c r="O24" s="129">
        <f t="shared" si="4"/>
        <v>40.459999999999994</v>
      </c>
      <c r="P24" s="128">
        <f>('Lpg (2)'!G28)*2.38</f>
        <v>224.8338400000122</v>
      </c>
      <c r="Q24" s="129">
        <f t="shared" si="1"/>
        <v>2492.2178400000116</v>
      </c>
      <c r="R24" s="129">
        <f t="shared" si="2"/>
        <v>222.69239999999996</v>
      </c>
      <c r="S24" s="364">
        <f t="shared" si="5"/>
        <v>249.22178400000115</v>
      </c>
    </row>
    <row r="25" spans="1:19" ht="14.25" x14ac:dyDescent="0.2">
      <c r="A25" s="363">
        <f>Gen!B30</f>
        <v>44550</v>
      </c>
      <c r="B25" s="337">
        <v>6</v>
      </c>
      <c r="C25" s="771">
        <f>Gen!V30</f>
        <v>0.39317777095486645</v>
      </c>
      <c r="D25" s="130">
        <f>Gen!T30</f>
        <v>1280.58</v>
      </c>
      <c r="E25" s="130">
        <f>Gen!AK30</f>
        <v>248.49</v>
      </c>
      <c r="F25" s="130">
        <f>Gen!AT30</f>
        <v>0</v>
      </c>
      <c r="G25" s="131">
        <f>'Utility report '!AC25</f>
        <v>0</v>
      </c>
      <c r="H25" s="131">
        <f>'Utility report '!AE25</f>
        <v>58</v>
      </c>
      <c r="I25" s="716">
        <f>'Water-Meter'!E25</f>
        <v>76</v>
      </c>
      <c r="J25" s="132">
        <f>'Lpg (2)'!B29</f>
        <v>85</v>
      </c>
      <c r="K25" s="132">
        <f>'Lpg (2)'!C29</f>
        <v>1</v>
      </c>
      <c r="L25" s="132">
        <f>'Lpg (2)'!D29</f>
        <v>0</v>
      </c>
      <c r="M25" s="6">
        <f>'Lpg (2)'!G29</f>
        <v>87.868000000005125</v>
      </c>
      <c r="N25" s="129">
        <f t="shared" si="4"/>
        <v>1792.8119999999999</v>
      </c>
      <c r="O25" s="129">
        <f t="shared" si="4"/>
        <v>347.88599999999997</v>
      </c>
      <c r="P25" s="128">
        <f>('Lpg (2)'!G29)*2.38</f>
        <v>209.12584000001218</v>
      </c>
      <c r="Q25" s="129">
        <f t="shared" si="1"/>
        <v>2349.8238400000118</v>
      </c>
      <c r="R25" s="129">
        <f t="shared" si="2"/>
        <v>298.80199999999996</v>
      </c>
      <c r="S25" s="364">
        <f t="shared" si="5"/>
        <v>391.63730666666862</v>
      </c>
    </row>
    <row r="26" spans="1:19" ht="14.25" x14ac:dyDescent="0.2">
      <c r="A26" s="363">
        <f>Gen!B31</f>
        <v>44551</v>
      </c>
      <c r="B26" s="337">
        <v>9</v>
      </c>
      <c r="C26" s="771">
        <f>Gen!V31</f>
        <v>0.41178420467185761</v>
      </c>
      <c r="D26" s="130">
        <f>Gen!T31</f>
        <v>1850.97</v>
      </c>
      <c r="E26" s="130">
        <f>Gen!AK31</f>
        <v>81</v>
      </c>
      <c r="F26" s="130">
        <f>Gen!AT31</f>
        <v>0</v>
      </c>
      <c r="G26" s="131">
        <f>'Utility report '!AC26</f>
        <v>86</v>
      </c>
      <c r="H26" s="131">
        <f>'Utility report '!AE26</f>
        <v>57</v>
      </c>
      <c r="I26" s="716">
        <f>'Water-Meter'!E26</f>
        <v>69</v>
      </c>
      <c r="J26" s="132">
        <f>'Lpg (2)'!B30</f>
        <v>83</v>
      </c>
      <c r="K26" s="132">
        <f>'Lpg (2)'!C30</f>
        <v>0</v>
      </c>
      <c r="L26" s="132">
        <f>'Lpg (2)'!D30</f>
        <v>0</v>
      </c>
      <c r="M26" s="6">
        <f>'Lpg (2)'!G30</f>
        <v>113.43199999999489</v>
      </c>
      <c r="N26" s="129">
        <f t="shared" si="4"/>
        <v>2591.3579999999997</v>
      </c>
      <c r="O26" s="129">
        <f t="shared" si="4"/>
        <v>113.39999999999999</v>
      </c>
      <c r="P26" s="128">
        <f>('Lpg (2)'!G30)*2.38</f>
        <v>269.96815999998779</v>
      </c>
      <c r="Q26" s="129">
        <f t="shared" si="1"/>
        <v>2974.7261599999874</v>
      </c>
      <c r="R26" s="129">
        <f t="shared" si="2"/>
        <v>287.92866666666663</v>
      </c>
      <c r="S26" s="364">
        <f t="shared" si="5"/>
        <v>330.52512888888748</v>
      </c>
    </row>
    <row r="27" spans="1:19" ht="14.25" x14ac:dyDescent="0.2">
      <c r="A27" s="363">
        <f>Gen!B32</f>
        <v>44552</v>
      </c>
      <c r="B27" s="337">
        <v>14</v>
      </c>
      <c r="C27" s="771">
        <f>Gen!V32</f>
        <v>0.42388138138138137</v>
      </c>
      <c r="D27" s="130">
        <f>Gen!T32</f>
        <v>1693.83</v>
      </c>
      <c r="E27" s="130">
        <f>Gen!AK32</f>
        <v>289.43</v>
      </c>
      <c r="F27" s="130">
        <f>Gen!AT32</f>
        <v>0</v>
      </c>
      <c r="G27" s="131">
        <f>'Utility report '!AC27</f>
        <v>100</v>
      </c>
      <c r="H27" s="131">
        <f>'Utility report '!AE27</f>
        <v>60</v>
      </c>
      <c r="I27" s="716">
        <f>'Water-Meter'!E27</f>
        <v>71</v>
      </c>
      <c r="J27" s="132">
        <f>'Lpg (2)'!B31</f>
        <v>81</v>
      </c>
      <c r="K27" s="132">
        <f>'Lpg (2)'!C31</f>
        <v>0</v>
      </c>
      <c r="L27" s="132">
        <f>'Lpg (2)'!D31</f>
        <v>0</v>
      </c>
      <c r="M27" s="6">
        <f>'Lpg (2)'!G31</f>
        <v>114.44400000004099</v>
      </c>
      <c r="N27" s="129">
        <f t="shared" si="4"/>
        <v>2371.3619999999996</v>
      </c>
      <c r="O27" s="129">
        <f t="shared" si="4"/>
        <v>405.202</v>
      </c>
      <c r="P27" s="128">
        <f>('Lpg (2)'!G31)*2.38</f>
        <v>272.37672000009752</v>
      </c>
      <c r="Q27" s="129">
        <f t="shared" si="1"/>
        <v>3048.9407200000969</v>
      </c>
      <c r="R27" s="129">
        <f t="shared" si="2"/>
        <v>169.38299999999998</v>
      </c>
      <c r="S27" s="364">
        <f t="shared" si="5"/>
        <v>217.78148000000692</v>
      </c>
    </row>
    <row r="28" spans="1:19" ht="14.25" x14ac:dyDescent="0.2">
      <c r="A28" s="363">
        <f>Gen!B33</f>
        <v>44553</v>
      </c>
      <c r="B28" s="337">
        <v>14</v>
      </c>
      <c r="C28" s="771">
        <f>Gen!V33</f>
        <v>0.40096612595419845</v>
      </c>
      <c r="D28" s="130">
        <f>Gen!T33</f>
        <v>1680.85</v>
      </c>
      <c r="E28" s="130">
        <f>Gen!AK33</f>
        <v>122.64</v>
      </c>
      <c r="F28" s="130">
        <f>Gen!AT33</f>
        <v>0</v>
      </c>
      <c r="G28" s="131">
        <f>'Utility report '!AC28</f>
        <v>95</v>
      </c>
      <c r="H28" s="131">
        <f>'Utility report '!AE28</f>
        <v>59</v>
      </c>
      <c r="I28" s="716">
        <f>'Water-Meter'!E28</f>
        <v>85</v>
      </c>
      <c r="J28" s="132">
        <f>'Lpg (2)'!B32</f>
        <v>78</v>
      </c>
      <c r="K28" s="132">
        <f>'Lpg (2)'!C32</f>
        <v>0</v>
      </c>
      <c r="L28" s="132">
        <f>'Lpg (2)'!D32</f>
        <v>0</v>
      </c>
      <c r="M28" s="6">
        <f>'Lpg (2)'!G32</f>
        <v>114.09199999996927</v>
      </c>
      <c r="N28" s="129">
        <f t="shared" si="4"/>
        <v>2353.1899999999996</v>
      </c>
      <c r="O28" s="129">
        <f t="shared" si="4"/>
        <v>171.696</v>
      </c>
      <c r="P28" s="128">
        <f>('Lpg (2)'!G32)*2.38</f>
        <v>271.53895999992687</v>
      </c>
      <c r="Q28" s="129">
        <f t="shared" si="1"/>
        <v>2796.4249599999266</v>
      </c>
      <c r="R28" s="129">
        <f t="shared" si="2"/>
        <v>168.08499999999998</v>
      </c>
      <c r="S28" s="364">
        <f t="shared" si="5"/>
        <v>199.74463999999475</v>
      </c>
    </row>
    <row r="29" spans="1:19" ht="14.25" x14ac:dyDescent="0.2">
      <c r="A29" s="363">
        <f>Gen!B34</f>
        <v>44554</v>
      </c>
      <c r="B29" s="337">
        <v>37</v>
      </c>
      <c r="C29" s="771">
        <f>Gen!V34</f>
        <v>0.42705882352941171</v>
      </c>
      <c r="D29" s="130">
        <f>Gen!T34</f>
        <v>2112.66</v>
      </c>
      <c r="E29" s="130">
        <f>Gen!AK34</f>
        <v>0</v>
      </c>
      <c r="F29" s="130">
        <f>Gen!AT34</f>
        <v>0</v>
      </c>
      <c r="G29" s="131">
        <f>'Utility report '!AC29</f>
        <v>134</v>
      </c>
      <c r="H29" s="131">
        <f>'Utility report '!AE29</f>
        <v>58</v>
      </c>
      <c r="I29" s="716">
        <f>'Water-Meter'!E29</f>
        <v>75</v>
      </c>
      <c r="J29" s="132">
        <f>'Lpg (2)'!B33</f>
        <v>75</v>
      </c>
      <c r="K29" s="132">
        <f>'Lpg (2)'!C33</f>
        <v>0</v>
      </c>
      <c r="L29" s="132">
        <f>'Lpg (2)'!D33</f>
        <v>0</v>
      </c>
      <c r="M29" s="6">
        <f>'Lpg (2)'!G33</f>
        <v>117.92000000001282</v>
      </c>
      <c r="N29" s="129">
        <f t="shared" si="4"/>
        <v>2957.7239999999997</v>
      </c>
      <c r="O29" s="129">
        <f t="shared" si="4"/>
        <v>0</v>
      </c>
      <c r="P29" s="128">
        <f>('Lpg (2)'!G33)*2.38</f>
        <v>280.64960000003049</v>
      </c>
      <c r="Q29" s="129">
        <f t="shared" si="1"/>
        <v>3238.3736000000304</v>
      </c>
      <c r="R29" s="129">
        <f t="shared" si="2"/>
        <v>79.938486486486482</v>
      </c>
      <c r="S29" s="364">
        <f t="shared" si="5"/>
        <v>87.523610810811633</v>
      </c>
    </row>
    <row r="30" spans="1:19" ht="14.25" x14ac:dyDescent="0.2">
      <c r="A30" s="363">
        <f>Gen!B35</f>
        <v>44555</v>
      </c>
      <c r="B30" s="337">
        <v>46</v>
      </c>
      <c r="C30" s="771">
        <f>Gen!V35</f>
        <v>0.40786861907667277</v>
      </c>
      <c r="D30" s="130">
        <f>Gen!T35</f>
        <v>2005.49</v>
      </c>
      <c r="E30" s="130">
        <f>Gen!AK35</f>
        <v>35.200000000000003</v>
      </c>
      <c r="F30" s="130">
        <f>Gen!AT35</f>
        <v>0</v>
      </c>
      <c r="G30" s="131">
        <f>'Utility report '!AC30</f>
        <v>85</v>
      </c>
      <c r="H30" s="131">
        <f>'Utility report '!AE30</f>
        <v>57</v>
      </c>
      <c r="I30" s="716">
        <f>'Water-Meter'!E30</f>
        <v>102</v>
      </c>
      <c r="J30" s="132">
        <f>'Lpg (2)'!B34</f>
        <v>72</v>
      </c>
      <c r="K30" s="132">
        <f>'Lpg (2)'!C34</f>
        <v>0</v>
      </c>
      <c r="L30" s="132">
        <f>'Lpg (2)'!D34</f>
        <v>0</v>
      </c>
      <c r="M30" s="6">
        <f>'Lpg (2)'!G34</f>
        <v>129.40400000001537</v>
      </c>
      <c r="N30" s="129">
        <f t="shared" si="4"/>
        <v>2807.6859999999997</v>
      </c>
      <c r="O30" s="129">
        <f t="shared" si="4"/>
        <v>49.28</v>
      </c>
      <c r="P30" s="128">
        <f>('Lpg (2)'!G34)*2.38</f>
        <v>307.9815200000366</v>
      </c>
      <c r="Q30" s="129">
        <f t="shared" si="1"/>
        <v>3164.9475200000365</v>
      </c>
      <c r="R30" s="129">
        <f t="shared" si="2"/>
        <v>61.036652173913033</v>
      </c>
      <c r="S30" s="364">
        <f t="shared" si="5"/>
        <v>68.80320695652253</v>
      </c>
    </row>
    <row r="31" spans="1:19" ht="14.25" x14ac:dyDescent="0.2">
      <c r="A31" s="363">
        <f>Gen!B36</f>
        <v>44556</v>
      </c>
      <c r="B31" s="337">
        <v>35</v>
      </c>
      <c r="C31" s="771">
        <f>Gen!V36</f>
        <v>0.43874595469255662</v>
      </c>
      <c r="D31" s="130">
        <f>Gen!T36</f>
        <v>2169.16</v>
      </c>
      <c r="E31" s="130">
        <f>Gen!AK36</f>
        <v>280.98</v>
      </c>
      <c r="F31" s="130">
        <f>Gen!AT36</f>
        <v>0</v>
      </c>
      <c r="G31" s="131">
        <f>'Utility report '!AC31</f>
        <v>48</v>
      </c>
      <c r="H31" s="131">
        <f>'Utility report '!AE31</f>
        <v>50</v>
      </c>
      <c r="I31" s="716">
        <f>'Water-Meter'!E31</f>
        <v>106</v>
      </c>
      <c r="J31" s="132">
        <f>'Lpg (2)'!B35</f>
        <v>68</v>
      </c>
      <c r="K31" s="132">
        <f>'Lpg (2)'!C35</f>
        <v>0</v>
      </c>
      <c r="L31" s="132">
        <f>'Lpg (2)'!D35</f>
        <v>0</v>
      </c>
      <c r="M31" s="6">
        <f>'Lpg (2)'!G35</f>
        <v>115.76399999998976</v>
      </c>
      <c r="N31" s="129">
        <f t="shared" si="4"/>
        <v>3036.8239999999996</v>
      </c>
      <c r="O31" s="129">
        <f t="shared" si="4"/>
        <v>393.37200000000001</v>
      </c>
      <c r="P31" s="128">
        <f>('Lpg (2)'!G35)*2.38</f>
        <v>275.51831999997563</v>
      </c>
      <c r="Q31" s="129">
        <f t="shared" si="1"/>
        <v>3705.714319999975</v>
      </c>
      <c r="R31" s="129">
        <f t="shared" si="2"/>
        <v>86.76639999999999</v>
      </c>
      <c r="S31" s="364">
        <f t="shared" si="5"/>
        <v>105.87755199999928</v>
      </c>
    </row>
    <row r="32" spans="1:19" ht="14.25" x14ac:dyDescent="0.2">
      <c r="A32" s="363">
        <f>Gen!B37</f>
        <v>44557</v>
      </c>
      <c r="B32" s="337">
        <v>31</v>
      </c>
      <c r="C32" s="771">
        <f>Gen!V37</f>
        <v>0.40575800000000001</v>
      </c>
      <c r="D32" s="130">
        <f>Gen!T37</f>
        <v>2028.79</v>
      </c>
      <c r="E32" s="130">
        <f>Gen!AK37</f>
        <v>49.66</v>
      </c>
      <c r="F32" s="130">
        <f>Gen!AT37</f>
        <v>0</v>
      </c>
      <c r="G32" s="131">
        <f>'Utility report '!AC32</f>
        <v>135</v>
      </c>
      <c r="H32" s="131">
        <f>'Utility report '!AE32</f>
        <v>63</v>
      </c>
      <c r="I32" s="716">
        <f>'Water-Meter'!E32</f>
        <v>102</v>
      </c>
      <c r="J32" s="132">
        <f>'Lpg (2)'!B36</f>
        <v>66</v>
      </c>
      <c r="K32" s="132">
        <f>'Lpg (2)'!C36</f>
        <v>0</v>
      </c>
      <c r="L32" s="132">
        <f>'Lpg (2)'!D36</f>
        <v>0</v>
      </c>
      <c r="M32" s="6">
        <f>'Lpg (2)'!G36</f>
        <v>127.33600000001026</v>
      </c>
      <c r="N32" s="129">
        <f t="shared" si="4"/>
        <v>2840.3059999999996</v>
      </c>
      <c r="O32" s="129">
        <f t="shared" si="4"/>
        <v>69.523999999999987</v>
      </c>
      <c r="P32" s="128">
        <f>('Lpg (2)'!G36)*2.38</f>
        <v>303.0596800000244</v>
      </c>
      <c r="Q32" s="129">
        <f t="shared" si="1"/>
        <v>3212.8896800000239</v>
      </c>
      <c r="R32" s="129">
        <f t="shared" si="2"/>
        <v>91.622774193548381</v>
      </c>
      <c r="S32" s="364">
        <f t="shared" si="5"/>
        <v>103.64160258064594</v>
      </c>
    </row>
    <row r="33" spans="1:19" ht="14.25" x14ac:dyDescent="0.2">
      <c r="A33" s="363">
        <f>Gen!B38</f>
        <v>44558</v>
      </c>
      <c r="B33" s="337">
        <v>34</v>
      </c>
      <c r="C33" s="771">
        <f>Gen!V38</f>
        <v>0.43917664670658685</v>
      </c>
      <c r="D33" s="130">
        <f>Gen!T38</f>
        <v>2053.59</v>
      </c>
      <c r="E33" s="130">
        <f>Gen!AK38</f>
        <v>186.49</v>
      </c>
      <c r="F33" s="130">
        <f>Gen!AT38</f>
        <v>0</v>
      </c>
      <c r="G33" s="131">
        <f>'Utility report '!AC33</f>
        <v>77</v>
      </c>
      <c r="H33" s="131">
        <f>'Utility report '!AE33</f>
        <v>61</v>
      </c>
      <c r="I33" s="716">
        <f>'Water-Meter'!E33</f>
        <v>109</v>
      </c>
      <c r="J33" s="132">
        <f>'Lpg (2)'!B37</f>
        <v>64</v>
      </c>
      <c r="K33" s="132">
        <f>'Lpg (2)'!C37</f>
        <v>0</v>
      </c>
      <c r="L33" s="132">
        <f>'Lpg (2)'!D37</f>
        <v>0</v>
      </c>
      <c r="M33" s="6">
        <f>'Lpg (2)'!G37</f>
        <v>126.71999999994878</v>
      </c>
      <c r="N33" s="129">
        <f t="shared" si="4"/>
        <v>2875.0259999999998</v>
      </c>
      <c r="O33" s="129">
        <f t="shared" si="4"/>
        <v>261.08600000000001</v>
      </c>
      <c r="P33" s="128">
        <f>('Lpg (2)'!G37)*2.38</f>
        <v>301.59359999987811</v>
      </c>
      <c r="Q33" s="129">
        <f t="shared" si="1"/>
        <v>3437.7055999998784</v>
      </c>
      <c r="R33" s="129">
        <f t="shared" si="2"/>
        <v>84.559588235294115</v>
      </c>
      <c r="S33" s="364">
        <f t="shared" si="5"/>
        <v>101.10898823529054</v>
      </c>
    </row>
    <row r="34" spans="1:19" ht="14.25" x14ac:dyDescent="0.2">
      <c r="A34" s="363">
        <f>Gen!B39</f>
        <v>44559</v>
      </c>
      <c r="B34" s="337">
        <v>42</v>
      </c>
      <c r="C34" s="771">
        <f>Gen!V39</f>
        <v>0.4169971381847915</v>
      </c>
      <c r="D34" s="130">
        <f>Gen!T39</f>
        <v>2039.95</v>
      </c>
      <c r="E34" s="130">
        <f>Gen!AK39</f>
        <v>236.12</v>
      </c>
      <c r="F34" s="130">
        <f>Gen!AT39</f>
        <v>0</v>
      </c>
      <c r="G34" s="131">
        <f>'Utility report '!AC34</f>
        <v>101</v>
      </c>
      <c r="H34" s="131">
        <f>'Utility report '!AE34</f>
        <v>63</v>
      </c>
      <c r="I34" s="716">
        <f>'Water-Meter'!E34</f>
        <v>111</v>
      </c>
      <c r="J34" s="132">
        <f>'Lpg (2)'!B38</f>
        <v>60</v>
      </c>
      <c r="K34" s="132">
        <f>'Lpg (2)'!C38</f>
        <v>0</v>
      </c>
      <c r="L34" s="132">
        <f>'Lpg (2)'!D38</f>
        <v>0</v>
      </c>
      <c r="M34" s="6">
        <f>'Lpg (2)'!G38</f>
        <v>135.38800000001794</v>
      </c>
      <c r="N34" s="129">
        <f t="shared" si="4"/>
        <v>2855.93</v>
      </c>
      <c r="O34" s="129">
        <f t="shared" si="4"/>
        <v>330.56799999999998</v>
      </c>
      <c r="P34" s="128">
        <f>('Lpg (2)'!G38)*2.38</f>
        <v>322.22344000004267</v>
      </c>
      <c r="Q34" s="129">
        <f t="shared" si="1"/>
        <v>3508.7214400000421</v>
      </c>
      <c r="R34" s="129">
        <f t="shared" si="2"/>
        <v>67.998333333333335</v>
      </c>
      <c r="S34" s="364">
        <f t="shared" si="5"/>
        <v>83.540986666667663</v>
      </c>
    </row>
    <row r="35" spans="1:19" ht="14.25" x14ac:dyDescent="0.2">
      <c r="A35" s="363">
        <f>Gen!B40</f>
        <v>44560</v>
      </c>
      <c r="B35" s="337">
        <v>48</v>
      </c>
      <c r="C35" s="771">
        <f>Gen!V40</f>
        <v>0.42798363407469575</v>
      </c>
      <c r="D35" s="130">
        <f>Gen!T40</f>
        <v>2039.77</v>
      </c>
      <c r="E35" s="130">
        <f>Gen!AK40</f>
        <v>34.26</v>
      </c>
      <c r="F35" s="130">
        <f>Gen!AT40</f>
        <v>0</v>
      </c>
      <c r="G35" s="131">
        <f>'Utility report '!AC35</f>
        <v>149</v>
      </c>
      <c r="H35" s="131">
        <f>'Utility report '!AE35</f>
        <v>49</v>
      </c>
      <c r="I35" s="716">
        <f>'Water-Meter'!E35</f>
        <v>102</v>
      </c>
      <c r="J35" s="132">
        <f>'Lpg (2)'!B39</f>
        <v>56</v>
      </c>
      <c r="K35" s="132">
        <f>'Lpg (2)'!C39</f>
        <v>0</v>
      </c>
      <c r="L35" s="132">
        <f>'Lpg (2)'!D39</f>
        <v>0</v>
      </c>
      <c r="M35" s="6">
        <f>'Lpg (2)'!G39</f>
        <v>157.30000000000001</v>
      </c>
      <c r="N35" s="129">
        <f t="shared" si="4"/>
        <v>2855.6779999999999</v>
      </c>
      <c r="O35" s="129">
        <f t="shared" si="4"/>
        <v>47.963999999999992</v>
      </c>
      <c r="P35" s="128">
        <f>('Lpg (2)'!G39)*2.38</f>
        <v>374.37400000000002</v>
      </c>
      <c r="Q35" s="129">
        <f t="shared" si="1"/>
        <v>3278.0159999999996</v>
      </c>
      <c r="R35" s="129">
        <f t="shared" si="2"/>
        <v>59.493291666666664</v>
      </c>
      <c r="S35" s="364">
        <f t="shared" si="5"/>
        <v>68.291999999999987</v>
      </c>
    </row>
    <row r="36" spans="1:19" ht="14.25" x14ac:dyDescent="0.2">
      <c r="A36" s="363">
        <f>Gen!B41</f>
        <v>44561</v>
      </c>
      <c r="B36" s="337">
        <v>48</v>
      </c>
      <c r="C36" s="771">
        <f>Gen!V41</f>
        <v>0.41520824199912321</v>
      </c>
      <c r="D36" s="130">
        <f>Gen!T41</f>
        <v>1894.18</v>
      </c>
      <c r="E36" s="130">
        <f>Gen!AK41</f>
        <v>882.87</v>
      </c>
      <c r="F36" s="130">
        <f>Gen!AT41</f>
        <v>0</v>
      </c>
      <c r="G36" s="131">
        <f>'Utility report '!AC36</f>
        <v>156</v>
      </c>
      <c r="H36" s="131">
        <f>'Utility report '!AE36</f>
        <v>51</v>
      </c>
      <c r="I36" s="716">
        <f>'Water-Meter'!E36</f>
        <v>102</v>
      </c>
      <c r="J36" s="132">
        <f>'Lpg (2)'!B40</f>
        <v>53</v>
      </c>
      <c r="K36" s="132">
        <f>'Lpg (2)'!C40</f>
        <v>0</v>
      </c>
      <c r="L36" s="132">
        <f>'Lpg (2)'!D40</f>
        <v>0</v>
      </c>
      <c r="M36" s="6">
        <f>'Lpg (2)'!G40</f>
        <v>163.02000000001283</v>
      </c>
      <c r="N36" s="129">
        <f t="shared" si="4"/>
        <v>2651.8519999999999</v>
      </c>
      <c r="O36" s="129">
        <f t="shared" si="4"/>
        <v>1236.018</v>
      </c>
      <c r="P36" s="128">
        <f>('Lpg (2)'!G40)*2.38</f>
        <v>387.98760000003051</v>
      </c>
      <c r="Q36" s="129">
        <f t="shared" si="1"/>
        <v>4275.8576000000303</v>
      </c>
      <c r="R36" s="129">
        <f t="shared" si="2"/>
        <v>55.246916666666664</v>
      </c>
      <c r="S36" s="364">
        <f t="shared" si="5"/>
        <v>89.080366666667302</v>
      </c>
    </row>
    <row r="37" spans="1:19" ht="14.25" x14ac:dyDescent="0.2">
      <c r="A37" s="363"/>
      <c r="B37" s="337">
        <f>'Summery Report'!E36</f>
        <v>0</v>
      </c>
      <c r="C37" s="6">
        <f>Gen!V42</f>
        <v>0</v>
      </c>
      <c r="D37" s="130">
        <f>Gen!T42</f>
        <v>0</v>
      </c>
      <c r="E37" s="130">
        <f>Gen!AK42</f>
        <v>0</v>
      </c>
      <c r="F37" s="130">
        <f>Gen!AT42</f>
        <v>0</v>
      </c>
      <c r="G37" s="131">
        <f>'Utility report '!AC37</f>
        <v>-21907</v>
      </c>
      <c r="H37" s="131">
        <f>'Utility report '!AE37</f>
        <v>-228878</v>
      </c>
      <c r="I37" s="245">
        <f>'Water-Meter'!E37</f>
        <v>120</v>
      </c>
      <c r="J37" s="132" t="e">
        <f>'Lpg (2)'!#REF!</f>
        <v>#REF!</v>
      </c>
      <c r="K37" s="132" t="e">
        <f>'Lpg (2)'!#REF!</f>
        <v>#REF!</v>
      </c>
      <c r="L37" s="132" t="e">
        <f>'Lpg (2)'!#REF!</f>
        <v>#REF!</v>
      </c>
      <c r="M37" s="6" t="e">
        <f>'Lpg (2)'!#REF!</f>
        <v>#REF!</v>
      </c>
      <c r="N37" s="6"/>
      <c r="O37" s="6"/>
      <c r="P37" s="6"/>
      <c r="Q37" s="129">
        <f t="shared" si="1"/>
        <v>0</v>
      </c>
      <c r="R37" s="129" t="e">
        <f t="shared" si="2"/>
        <v>#DIV/0!</v>
      </c>
      <c r="S37" s="364" t="e">
        <f t="shared" si="5"/>
        <v>#DIV/0!</v>
      </c>
    </row>
    <row r="38" spans="1:19" ht="14.25" x14ac:dyDescent="0.2">
      <c r="A38" s="36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29" t="e">
        <f t="shared" si="2"/>
        <v>#DIV/0!</v>
      </c>
      <c r="S38" s="365"/>
    </row>
    <row r="39" spans="1:19" ht="13.5" thickBot="1" x14ac:dyDescent="0.25">
      <c r="A39" s="43" t="s">
        <v>123</v>
      </c>
      <c r="B39" s="366">
        <f>SUM(B7:B37)</f>
        <v>563</v>
      </c>
      <c r="C39" s="366">
        <f t="shared" ref="C39:S39" si="6">SUM(C7:C35)</f>
        <v>11.843179795619806</v>
      </c>
      <c r="D39" s="366">
        <f t="shared" si="6"/>
        <v>46573.19999999999</v>
      </c>
      <c r="E39" s="366">
        <f t="shared" si="6"/>
        <v>4205.28</v>
      </c>
      <c r="F39" s="366">
        <f t="shared" si="6"/>
        <v>0</v>
      </c>
      <c r="G39" s="366">
        <f t="shared" si="6"/>
        <v>2684</v>
      </c>
      <c r="H39" s="366">
        <f t="shared" si="6"/>
        <v>1764</v>
      </c>
      <c r="I39" s="366">
        <f t="shared" si="6"/>
        <v>2299</v>
      </c>
      <c r="J39" s="366">
        <f t="shared" si="6"/>
        <v>2318</v>
      </c>
      <c r="K39" s="366">
        <f t="shared" si="6"/>
        <v>539</v>
      </c>
      <c r="L39" s="366">
        <f t="shared" si="6"/>
        <v>0</v>
      </c>
      <c r="M39" s="366">
        <f t="shared" si="6"/>
        <v>3066.095999999985</v>
      </c>
      <c r="N39" s="366">
        <f t="shared" si="6"/>
        <v>65202.479999999996</v>
      </c>
      <c r="O39" s="366">
        <f t="shared" si="6"/>
        <v>5887.3920000000016</v>
      </c>
      <c r="P39" s="366">
        <f t="shared" si="6"/>
        <v>7297.3084799999642</v>
      </c>
      <c r="Q39" s="366">
        <f t="shared" si="6"/>
        <v>78387.180479999966</v>
      </c>
      <c r="R39" s="366">
        <f t="shared" si="6"/>
        <v>5242.6198795080454</v>
      </c>
      <c r="S39" s="367">
        <f t="shared" si="6"/>
        <v>6374.9399377969639</v>
      </c>
    </row>
    <row r="42" spans="1:19" x14ac:dyDescent="0.2">
      <c r="I42" s="413"/>
    </row>
    <row r="43" spans="1:19" x14ac:dyDescent="0.2">
      <c r="I43" s="413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0ACB-7752-42A6-9BF4-CFFEE78C1F35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AX127"/>
  <sheetViews>
    <sheetView topLeftCell="A28" zoomScaleNormal="100" workbookViewId="0">
      <pane xSplit="2" topLeftCell="C1" activePane="topRight" state="frozen"/>
      <selection pane="topRight" activeCell="T41" sqref="T41"/>
    </sheetView>
  </sheetViews>
  <sheetFormatPr defaultColWidth="9.140625" defaultRowHeight="11.25" x14ac:dyDescent="0.2"/>
  <cols>
    <col min="1" max="1" width="2.140625" style="156" hidden="1" customWidth="1"/>
    <col min="2" max="2" width="9" style="158" customWidth="1"/>
    <col min="3" max="3" width="10.140625" style="158" customWidth="1"/>
    <col min="4" max="4" width="10.7109375" style="158" customWidth="1"/>
    <col min="5" max="5" width="9" style="158" customWidth="1"/>
    <col min="6" max="6" width="10.140625" style="158" customWidth="1"/>
    <col min="7" max="7" width="10.7109375" style="158" customWidth="1"/>
    <col min="8" max="8" width="11.28515625" style="158" customWidth="1"/>
    <col min="9" max="9" width="9.7109375" style="158" customWidth="1"/>
    <col min="10" max="10" width="8" style="158" customWidth="1"/>
    <col min="11" max="11" width="8.7109375" style="158" customWidth="1"/>
    <col min="12" max="12" width="8.85546875" style="158" bestFit="1" customWidth="1"/>
    <col min="13" max="13" width="10.140625" style="158" customWidth="1"/>
    <col min="14" max="14" width="10.85546875" style="158" customWidth="1"/>
    <col min="15" max="15" width="11.42578125" style="158" customWidth="1"/>
    <col min="16" max="16" width="10.140625" style="158" customWidth="1"/>
    <col min="17" max="17" width="11.140625" style="158" customWidth="1"/>
    <col min="18" max="18" width="10.7109375" style="158" customWidth="1"/>
    <col min="19" max="19" width="13.140625" style="158" customWidth="1"/>
    <col min="20" max="20" width="11.7109375" style="158" customWidth="1"/>
    <col min="21" max="21" width="13" style="158" customWidth="1"/>
    <col min="22" max="22" width="13.140625" style="158" customWidth="1"/>
    <col min="23" max="23" width="13.5703125" style="158" bestFit="1" customWidth="1"/>
    <col min="24" max="24" width="13" style="158" customWidth="1"/>
    <col min="25" max="25" width="15.7109375" style="158" customWidth="1"/>
    <col min="26" max="26" width="13.7109375" style="158" customWidth="1"/>
    <col min="27" max="27" width="12" style="158" bestFit="1" customWidth="1"/>
    <col min="28" max="28" width="9.5703125" style="158" bestFit="1" customWidth="1"/>
    <col min="29" max="29" width="8.28515625" style="158" bestFit="1" customWidth="1"/>
    <col min="30" max="30" width="9.42578125" style="158" bestFit="1" customWidth="1"/>
    <col min="31" max="31" width="9.85546875" style="158" bestFit="1" customWidth="1"/>
    <col min="32" max="32" width="8" style="158" bestFit="1" customWidth="1"/>
    <col min="33" max="33" width="9.28515625" style="158" bestFit="1" customWidth="1"/>
    <col min="34" max="34" width="11.42578125" style="158" customWidth="1"/>
    <col min="35" max="35" width="9.85546875" style="158" bestFit="1" customWidth="1"/>
    <col min="36" max="36" width="9.5703125" style="158" bestFit="1" customWidth="1"/>
    <col min="37" max="37" width="12" style="158" bestFit="1" customWidth="1"/>
    <col min="38" max="43" width="9.140625" style="158" hidden="1" customWidth="1"/>
    <col min="44" max="44" width="5.42578125" style="158" hidden="1" customWidth="1"/>
    <col min="45" max="45" width="15" style="158" bestFit="1" customWidth="1"/>
    <col min="46" max="46" width="11.28515625" style="158" bestFit="1" customWidth="1"/>
    <col min="47" max="47" width="9.7109375" style="158" bestFit="1" customWidth="1"/>
    <col min="48" max="48" width="8" style="156" bestFit="1" customWidth="1"/>
    <col min="49" max="49" width="9.140625" style="156"/>
    <col min="50" max="50" width="12.140625" style="156" bestFit="1" customWidth="1"/>
    <col min="51" max="16384" width="9.140625" style="156"/>
  </cols>
  <sheetData>
    <row r="1" spans="2:50" x14ac:dyDescent="0.2">
      <c r="B1" s="954"/>
      <c r="C1" s="954"/>
    </row>
    <row r="2" spans="2:50" ht="26.25" x14ac:dyDescent="0.4">
      <c r="B2" s="954"/>
      <c r="C2" s="954"/>
      <c r="E2" s="955">
        <f>B11</f>
        <v>44531</v>
      </c>
      <c r="F2" s="955"/>
      <c r="G2" s="956"/>
      <c r="H2" s="956"/>
      <c r="I2" s="956"/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956"/>
      <c r="AA2" s="956"/>
      <c r="AB2" s="956"/>
      <c r="AC2" s="956"/>
      <c r="AD2" s="956"/>
      <c r="AE2" s="956"/>
      <c r="AF2" s="956"/>
      <c r="AG2" s="956"/>
      <c r="AH2" s="956"/>
      <c r="AI2" s="956"/>
      <c r="AJ2" s="956"/>
      <c r="AK2" s="956"/>
      <c r="AL2" s="956"/>
      <c r="AM2" s="956"/>
      <c r="AN2" s="956"/>
      <c r="AO2" s="956"/>
      <c r="AP2" s="956"/>
      <c r="AQ2" s="956"/>
      <c r="AR2" s="956"/>
      <c r="AS2" s="956"/>
      <c r="AT2" s="956"/>
      <c r="AU2" s="956"/>
    </row>
    <row r="3" spans="2:50" ht="12.75" customHeight="1" x14ac:dyDescent="0.2">
      <c r="B3" s="954"/>
      <c r="C3" s="954"/>
      <c r="I3" s="957"/>
      <c r="J3" s="957"/>
      <c r="K3" s="957"/>
      <c r="L3" s="157"/>
      <c r="R3" s="157"/>
    </row>
    <row r="4" spans="2:50" ht="11.25" customHeight="1" x14ac:dyDescent="0.2">
      <c r="B4" s="954"/>
      <c r="C4" s="954"/>
      <c r="I4" s="957"/>
      <c r="J4" s="957"/>
      <c r="K4" s="957"/>
      <c r="L4" s="157"/>
      <c r="R4" s="157"/>
    </row>
    <row r="5" spans="2:50" x14ac:dyDescent="0.2">
      <c r="B5" s="954"/>
      <c r="C5" s="954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</row>
    <row r="6" spans="2:50" ht="20.25" x14ac:dyDescent="0.3">
      <c r="B6" s="954"/>
      <c r="C6" s="954"/>
      <c r="D6" s="160"/>
      <c r="G6" s="958" t="s">
        <v>124</v>
      </c>
      <c r="H6" s="959"/>
      <c r="I6" s="959"/>
      <c r="J6" s="959"/>
      <c r="K6" s="959"/>
      <c r="L6" s="959"/>
      <c r="M6" s="960"/>
      <c r="W6" s="161">
        <v>1</v>
      </c>
      <c r="X6" s="161">
        <v>2</v>
      </c>
      <c r="Y6" s="161">
        <v>3</v>
      </c>
      <c r="Z6" s="161">
        <v>4</v>
      </c>
      <c r="AA6" s="161">
        <v>5</v>
      </c>
      <c r="AB6" s="161">
        <v>6</v>
      </c>
      <c r="AC6" s="161">
        <v>7</v>
      </c>
      <c r="AD6" s="161">
        <v>8</v>
      </c>
      <c r="AE6" s="161">
        <v>9</v>
      </c>
      <c r="AF6" s="161">
        <v>10</v>
      </c>
      <c r="AG6" s="161">
        <v>11</v>
      </c>
      <c r="AH6" s="161"/>
      <c r="AI6" s="161"/>
      <c r="AJ6" s="161"/>
      <c r="AS6" s="161"/>
      <c r="AT6" s="662"/>
      <c r="AU6" s="663"/>
    </row>
    <row r="7" spans="2:50" ht="19.5" customHeight="1" thickBot="1" x14ac:dyDescent="0.35">
      <c r="D7" s="162"/>
      <c r="E7" s="162"/>
      <c r="F7" s="162"/>
      <c r="G7" s="961" t="s">
        <v>125</v>
      </c>
      <c r="H7" s="962"/>
      <c r="I7" s="962"/>
      <c r="J7" s="962"/>
      <c r="K7" s="962"/>
      <c r="L7" s="962"/>
      <c r="M7" s="963"/>
      <c r="N7" s="964" t="s">
        <v>126</v>
      </c>
      <c r="O7" s="965"/>
      <c r="P7" s="965"/>
      <c r="Q7" s="965"/>
      <c r="R7" s="965"/>
      <c r="S7" s="966"/>
      <c r="T7" s="288"/>
      <c r="U7" s="289"/>
      <c r="V7" s="290"/>
      <c r="W7" s="291" t="s">
        <v>127</v>
      </c>
      <c r="X7" s="292" t="s">
        <v>127</v>
      </c>
      <c r="Y7" s="292" t="s">
        <v>128</v>
      </c>
      <c r="Z7" s="292" t="s">
        <v>129</v>
      </c>
      <c r="AA7" s="292" t="s">
        <v>130</v>
      </c>
      <c r="AB7" s="292" t="s">
        <v>131</v>
      </c>
      <c r="AC7" s="292" t="s">
        <v>131</v>
      </c>
      <c r="AD7" s="293" t="s">
        <v>132</v>
      </c>
      <c r="AE7" s="292" t="s">
        <v>133</v>
      </c>
      <c r="AF7" s="292" t="s">
        <v>134</v>
      </c>
      <c r="AG7" s="294" t="s">
        <v>135</v>
      </c>
      <c r="AH7" s="295" t="s">
        <v>136</v>
      </c>
      <c r="AI7" s="292" t="s">
        <v>137</v>
      </c>
      <c r="AJ7" s="296" t="s">
        <v>138</v>
      </c>
      <c r="AK7" s="299" t="s">
        <v>139</v>
      </c>
      <c r="AL7" s="162"/>
      <c r="AM7" s="162"/>
      <c r="AN7" s="162"/>
      <c r="AO7" s="162"/>
      <c r="AP7" s="162"/>
      <c r="AQ7" s="162"/>
      <c r="AR7" s="162"/>
      <c r="AS7" s="163"/>
      <c r="AT7" s="664"/>
      <c r="AU7" s="665"/>
    </row>
    <row r="8" spans="2:50" s="886" customFormat="1" ht="30" customHeight="1" x14ac:dyDescent="0.2">
      <c r="B8" s="867" t="s">
        <v>31</v>
      </c>
      <c r="C8" s="885" t="s">
        <v>140</v>
      </c>
      <c r="D8" s="869" t="s">
        <v>141</v>
      </c>
      <c r="E8" s="868" t="s">
        <v>142</v>
      </c>
      <c r="F8" s="868" t="s">
        <v>143</v>
      </c>
      <c r="G8" s="869" t="s">
        <v>144</v>
      </c>
      <c r="H8" s="389">
        <v>1</v>
      </c>
      <c r="I8" s="303">
        <v>2</v>
      </c>
      <c r="J8" s="303">
        <v>3</v>
      </c>
      <c r="K8" s="303">
        <v>4</v>
      </c>
      <c r="L8" s="303">
        <v>5</v>
      </c>
      <c r="M8" s="304">
        <v>6</v>
      </c>
      <c r="N8" s="305">
        <v>1</v>
      </c>
      <c r="O8" s="306">
        <v>2</v>
      </c>
      <c r="P8" s="306">
        <v>3</v>
      </c>
      <c r="Q8" s="306">
        <v>4</v>
      </c>
      <c r="R8" s="306">
        <v>5</v>
      </c>
      <c r="S8" s="306">
        <v>6</v>
      </c>
      <c r="T8" s="870" t="s">
        <v>145</v>
      </c>
      <c r="U8" s="870" t="s">
        <v>146</v>
      </c>
      <c r="V8" s="871" t="s">
        <v>147</v>
      </c>
      <c r="W8" s="872" t="s">
        <v>148</v>
      </c>
      <c r="X8" s="873" t="s">
        <v>149</v>
      </c>
      <c r="Y8" s="873" t="s">
        <v>150</v>
      </c>
      <c r="Z8" s="874" t="s">
        <v>151</v>
      </c>
      <c r="AA8" s="874" t="s">
        <v>152</v>
      </c>
      <c r="AB8" s="874" t="s">
        <v>153</v>
      </c>
      <c r="AC8" s="873" t="s">
        <v>154</v>
      </c>
      <c r="AD8" s="875" t="s">
        <v>155</v>
      </c>
      <c r="AE8" s="873" t="s">
        <v>156</v>
      </c>
      <c r="AF8" s="873" t="s">
        <v>157</v>
      </c>
      <c r="AG8" s="873" t="s">
        <v>158</v>
      </c>
      <c r="AH8" s="876" t="s">
        <v>159</v>
      </c>
      <c r="AI8" s="877" t="s">
        <v>160</v>
      </c>
      <c r="AJ8" s="878" t="s">
        <v>160</v>
      </c>
      <c r="AK8" s="879"/>
      <c r="AL8" s="880"/>
      <c r="AM8" s="881"/>
      <c r="AN8" s="881"/>
      <c r="AO8" s="881"/>
      <c r="AP8" s="881"/>
      <c r="AQ8" s="882"/>
      <c r="AR8" s="883"/>
      <c r="AS8" s="884" t="s">
        <v>161</v>
      </c>
      <c r="AT8" s="884" t="s">
        <v>162</v>
      </c>
      <c r="AU8" s="883" t="s">
        <v>163</v>
      </c>
    </row>
    <row r="9" spans="2:50" ht="14.25" x14ac:dyDescent="0.3">
      <c r="B9" s="808"/>
      <c r="C9" s="808"/>
      <c r="D9" s="824">
        <v>43219.56</v>
      </c>
      <c r="E9" s="809"/>
      <c r="F9" s="809"/>
      <c r="G9" s="172"/>
      <c r="H9" s="730"/>
      <c r="I9" s="440"/>
      <c r="J9" s="441"/>
      <c r="K9" s="442"/>
      <c r="L9" s="443"/>
      <c r="M9" s="444"/>
      <c r="N9" s="301"/>
      <c r="O9" s="302"/>
      <c r="P9" s="302"/>
      <c r="Q9" s="302"/>
      <c r="R9" s="302"/>
      <c r="S9" s="447"/>
      <c r="T9" s="452">
        <f t="shared" ref="T9:T44" si="0">SUM(G9:M9)</f>
        <v>0</v>
      </c>
      <c r="U9" s="453"/>
      <c r="V9" s="454"/>
      <c r="W9" s="450"/>
      <c r="X9" s="167"/>
      <c r="Y9" s="297"/>
      <c r="Z9" s="297"/>
      <c r="AA9" s="297"/>
      <c r="AB9" s="167"/>
      <c r="AC9" s="165"/>
      <c r="AD9" s="167"/>
      <c r="AE9" s="168"/>
      <c r="AF9" s="168"/>
      <c r="AG9" s="169"/>
      <c r="AH9" s="165"/>
      <c r="AI9" s="167"/>
      <c r="AJ9" s="311"/>
      <c r="AK9" s="298"/>
      <c r="AL9" s="170"/>
      <c r="AM9" s="170"/>
      <c r="AN9" s="170"/>
      <c r="AO9" s="170"/>
      <c r="AP9" s="170"/>
      <c r="AQ9" s="170"/>
      <c r="AR9" s="170"/>
      <c r="AS9" s="300">
        <f t="shared" ref="AS9:AS43" si="1">SUM(AK9+T9)</f>
        <v>0</v>
      </c>
      <c r="AT9" s="188">
        <f>AS21*AV21</f>
        <v>0</v>
      </c>
      <c r="AU9" s="171"/>
    </row>
    <row r="10" spans="2:50" ht="13.5" customHeight="1" x14ac:dyDescent="0.3">
      <c r="B10" s="810"/>
      <c r="C10" s="810"/>
      <c r="D10" s="811"/>
      <c r="E10" s="809"/>
      <c r="F10" s="812"/>
      <c r="G10" s="172"/>
      <c r="H10" s="802"/>
      <c r="I10" s="803"/>
      <c r="J10" s="173"/>
      <c r="K10" s="172"/>
      <c r="L10" s="172"/>
      <c r="M10" s="248"/>
      <c r="N10" s="247"/>
      <c r="O10" s="175"/>
      <c r="P10" s="174"/>
      <c r="Q10" s="174"/>
      <c r="R10" s="174"/>
      <c r="S10" s="448"/>
      <c r="T10" s="455">
        <f t="shared" si="0"/>
        <v>0</v>
      </c>
      <c r="U10" s="894">
        <f>SUM(N10:S10)</f>
        <v>0</v>
      </c>
      <c r="V10" s="719"/>
      <c r="W10" s="179"/>
      <c r="X10" s="186"/>
      <c r="Y10" s="166"/>
      <c r="Z10" s="177"/>
      <c r="AA10" s="172"/>
      <c r="AB10" s="177"/>
      <c r="AC10" s="178"/>
      <c r="AD10" s="177"/>
      <c r="AE10" s="179"/>
      <c r="AF10" s="179"/>
      <c r="AG10" s="177"/>
      <c r="AH10" s="180"/>
      <c r="AI10" s="186"/>
      <c r="AJ10" s="311"/>
      <c r="AK10" s="226">
        <f t="shared" ref="AK10:AK44" si="2">SUM(W10:AJ10)</f>
        <v>0</v>
      </c>
      <c r="AL10" s="181"/>
      <c r="AM10" s="181"/>
      <c r="AN10" s="181"/>
      <c r="AO10" s="181"/>
      <c r="AP10" s="181"/>
      <c r="AQ10" s="181"/>
      <c r="AR10" s="182"/>
      <c r="AS10" s="183">
        <f t="shared" si="1"/>
        <v>0</v>
      </c>
      <c r="AT10" s="887">
        <f>AS10*AV10</f>
        <v>0</v>
      </c>
      <c r="AU10" s="233"/>
    </row>
    <row r="11" spans="2:50" ht="13.5" customHeight="1" x14ac:dyDescent="0.3">
      <c r="B11" s="813">
        <v>44531</v>
      </c>
      <c r="C11" s="324">
        <v>5.1900000000000002E-2</v>
      </c>
      <c r="D11" s="814">
        <f>SUM(D9+E11)</f>
        <v>43219.56</v>
      </c>
      <c r="E11" s="812"/>
      <c r="F11" s="812"/>
      <c r="H11" s="863">
        <v>711.06</v>
      </c>
      <c r="I11" s="864"/>
      <c r="J11" s="677"/>
      <c r="K11" s="166">
        <v>193.22</v>
      </c>
      <c r="L11" s="166">
        <v>436.41</v>
      </c>
      <c r="M11" s="678"/>
      <c r="N11" s="679">
        <v>1709</v>
      </c>
      <c r="O11" s="680"/>
      <c r="P11" s="680"/>
      <c r="Q11" s="680">
        <v>380</v>
      </c>
      <c r="R11" s="680">
        <v>1041</v>
      </c>
      <c r="S11" s="681"/>
      <c r="T11" s="455">
        <f t="shared" ref="T11:T40" si="3">SUM(H11:M11)</f>
        <v>1340.69</v>
      </c>
      <c r="U11" s="185">
        <f t="shared" ref="U11:U44" si="4">SUM(N11:S11)</f>
        <v>3130</v>
      </c>
      <c r="V11" s="772">
        <f>T11/U11</f>
        <v>0.42833546325878596</v>
      </c>
      <c r="W11" s="179"/>
      <c r="X11" s="186"/>
      <c r="Y11" s="166">
        <v>19.899999999999999</v>
      </c>
      <c r="Z11" s="186"/>
      <c r="AA11" s="172"/>
      <c r="AB11" s="221">
        <v>35.409999999999997</v>
      </c>
      <c r="AC11" s="186"/>
      <c r="AD11" s="186"/>
      <c r="AE11" s="186"/>
      <c r="AF11" s="186"/>
      <c r="AG11" s="186"/>
      <c r="AH11" s="186"/>
      <c r="AI11" s="186"/>
      <c r="AJ11" s="311"/>
      <c r="AK11" s="226">
        <f t="shared" si="2"/>
        <v>55.309999999999995</v>
      </c>
      <c r="AL11" s="187"/>
      <c r="AM11" s="187"/>
      <c r="AN11" s="187"/>
      <c r="AO11" s="187"/>
      <c r="AP11" s="187"/>
      <c r="AQ11" s="187"/>
      <c r="AR11" s="187"/>
      <c r="AS11" s="183">
        <f t="shared" si="1"/>
        <v>1396</v>
      </c>
      <c r="AT11" s="887">
        <f t="shared" ref="AT11:AT21" si="5">AS11*AV11</f>
        <v>0</v>
      </c>
      <c r="AU11" s="233">
        <f t="shared" ref="AU11:AU43" si="6">D11</f>
        <v>43219.56</v>
      </c>
      <c r="AX11" s="791">
        <f>AV11*T11</f>
        <v>0</v>
      </c>
    </row>
    <row r="12" spans="2:50" ht="13.5" customHeight="1" x14ac:dyDescent="0.3">
      <c r="B12" s="813">
        <v>44532</v>
      </c>
      <c r="C12" s="324">
        <v>0.05</v>
      </c>
      <c r="D12" s="814">
        <f t="shared" ref="D12:D43" si="7">SUM(D11-AS11+E12)</f>
        <v>41823.56</v>
      </c>
      <c r="E12" s="812"/>
      <c r="F12" s="812"/>
      <c r="G12" s="172"/>
      <c r="H12" s="865"/>
      <c r="I12" s="799"/>
      <c r="J12" s="677"/>
      <c r="K12" s="166">
        <v>245.53</v>
      </c>
      <c r="L12" s="166">
        <v>401.03</v>
      </c>
      <c r="M12" s="678">
        <v>622.25</v>
      </c>
      <c r="N12" s="679"/>
      <c r="O12" s="680"/>
      <c r="P12" s="680"/>
      <c r="Q12" s="680">
        <v>555</v>
      </c>
      <c r="R12" s="682">
        <v>969</v>
      </c>
      <c r="S12" s="681">
        <v>1581</v>
      </c>
      <c r="T12" s="455">
        <f t="shared" si="3"/>
        <v>1268.81</v>
      </c>
      <c r="U12" s="185">
        <f t="shared" si="4"/>
        <v>3105</v>
      </c>
      <c r="V12" s="772">
        <f>T12/U12</f>
        <v>0.40863446054750402</v>
      </c>
      <c r="W12" s="179"/>
      <c r="X12" s="186"/>
      <c r="Y12" s="450">
        <v>28.89</v>
      </c>
      <c r="Z12" s="186">
        <v>77.180000000000007</v>
      </c>
      <c r="AA12" s="172"/>
      <c r="AB12" s="221"/>
      <c r="AC12" s="186"/>
      <c r="AD12" s="186"/>
      <c r="AE12" s="186">
        <v>225.16</v>
      </c>
      <c r="AF12" s="186">
        <v>264.81</v>
      </c>
      <c r="AG12" s="186"/>
      <c r="AH12" s="186"/>
      <c r="AI12" s="186"/>
      <c r="AJ12" s="311"/>
      <c r="AK12" s="226">
        <f>SUM(W12:AJ12)</f>
        <v>596.04</v>
      </c>
      <c r="AL12" s="181"/>
      <c r="AM12" s="181"/>
      <c r="AN12" s="181"/>
      <c r="AO12" s="181"/>
      <c r="AP12" s="181"/>
      <c r="AQ12" s="181"/>
      <c r="AR12" s="181"/>
      <c r="AS12" s="183">
        <f>SUM(AK12+T12)</f>
        <v>1864.85</v>
      </c>
      <c r="AT12" s="887">
        <f t="shared" si="5"/>
        <v>0</v>
      </c>
      <c r="AU12" s="233">
        <f t="shared" si="6"/>
        <v>41823.56</v>
      </c>
      <c r="AX12" s="791">
        <f t="shared" ref="AX12:AX40" si="8">AV12*T12</f>
        <v>0</v>
      </c>
    </row>
    <row r="13" spans="2:50" ht="13.5" customHeight="1" x14ac:dyDescent="0.3">
      <c r="B13" s="813">
        <v>44533</v>
      </c>
      <c r="C13" s="324">
        <v>0.05</v>
      </c>
      <c r="D13" s="814">
        <f t="shared" si="7"/>
        <v>39958.71</v>
      </c>
      <c r="E13" s="812"/>
      <c r="F13" s="812"/>
      <c r="G13" s="172"/>
      <c r="H13" s="805">
        <v>728.96</v>
      </c>
      <c r="I13" s="800"/>
      <c r="J13" s="189"/>
      <c r="K13" s="172"/>
      <c r="L13" s="166">
        <v>448.21</v>
      </c>
      <c r="M13" s="248"/>
      <c r="N13" s="247">
        <v>1834</v>
      </c>
      <c r="O13" s="174"/>
      <c r="P13" s="174"/>
      <c r="Q13" s="174"/>
      <c r="R13" s="174">
        <v>1076</v>
      </c>
      <c r="S13" s="448"/>
      <c r="T13" s="455">
        <f t="shared" si="3"/>
        <v>1177.17</v>
      </c>
      <c r="U13" s="185">
        <f t="shared" si="4"/>
        <v>2910</v>
      </c>
      <c r="V13" s="772">
        <f t="shared" ref="V13:V41" si="9">T13/U13</f>
        <v>0.40452577319587629</v>
      </c>
      <c r="W13" s="179"/>
      <c r="X13" s="186"/>
      <c r="Y13" s="166"/>
      <c r="Z13" s="186"/>
      <c r="AA13" s="172"/>
      <c r="AB13" s="221"/>
      <c r="AC13" s="186"/>
      <c r="AD13" s="186"/>
      <c r="AE13" s="186"/>
      <c r="AF13" s="186"/>
      <c r="AG13" s="186"/>
      <c r="AH13" s="186"/>
      <c r="AI13" s="186"/>
      <c r="AJ13" s="311"/>
      <c r="AK13" s="226">
        <f>SUM(W13:AJ13)</f>
        <v>0</v>
      </c>
      <c r="AL13" s="190"/>
      <c r="AM13" s="190"/>
      <c r="AN13" s="190"/>
      <c r="AO13" s="190"/>
      <c r="AP13" s="190"/>
      <c r="AQ13" s="190"/>
      <c r="AR13" s="190"/>
      <c r="AS13" s="183">
        <f t="shared" si="1"/>
        <v>1177.17</v>
      </c>
      <c r="AT13" s="887">
        <f t="shared" si="5"/>
        <v>0</v>
      </c>
      <c r="AU13" s="233">
        <f t="shared" si="6"/>
        <v>39958.71</v>
      </c>
      <c r="AX13" s="791">
        <f t="shared" si="8"/>
        <v>0</v>
      </c>
    </row>
    <row r="14" spans="2:50" ht="13.5" customHeight="1" x14ac:dyDescent="0.3">
      <c r="B14" s="813">
        <v>44534</v>
      </c>
      <c r="C14" s="324">
        <v>0.08</v>
      </c>
      <c r="D14" s="814">
        <f t="shared" si="7"/>
        <v>38781.54</v>
      </c>
      <c r="E14" s="812"/>
      <c r="F14" s="812"/>
      <c r="G14" s="172"/>
      <c r="H14" s="805"/>
      <c r="I14" s="800"/>
      <c r="J14" s="189"/>
      <c r="K14" s="172"/>
      <c r="L14" s="166">
        <v>471.12</v>
      </c>
      <c r="M14" s="248">
        <v>822.1</v>
      </c>
      <c r="N14" s="247"/>
      <c r="O14" s="174"/>
      <c r="P14" s="174"/>
      <c r="Q14" s="174"/>
      <c r="R14" s="174">
        <v>1145</v>
      </c>
      <c r="S14" s="448">
        <v>2144</v>
      </c>
      <c r="T14" s="455">
        <f t="shared" si="3"/>
        <v>1293.22</v>
      </c>
      <c r="U14" s="185">
        <f t="shared" si="4"/>
        <v>3289</v>
      </c>
      <c r="V14" s="772">
        <f t="shared" si="9"/>
        <v>0.39319550015202193</v>
      </c>
      <c r="W14" s="179">
        <v>81.569999999999993</v>
      </c>
      <c r="X14" s="186"/>
      <c r="Y14" s="166">
        <v>23.7</v>
      </c>
      <c r="Z14" s="186"/>
      <c r="AA14" s="172">
        <v>94.24</v>
      </c>
      <c r="AB14" s="221"/>
      <c r="AC14" s="186"/>
      <c r="AD14" s="186"/>
      <c r="AE14" s="186"/>
      <c r="AF14" s="186"/>
      <c r="AG14" s="186"/>
      <c r="AH14" s="186"/>
      <c r="AI14" s="186"/>
      <c r="AJ14" s="311"/>
      <c r="AK14" s="226">
        <f t="shared" si="2"/>
        <v>199.51</v>
      </c>
      <c r="AL14" s="187"/>
      <c r="AM14" s="187"/>
      <c r="AN14" s="187"/>
      <c r="AO14" s="187"/>
      <c r="AP14" s="187"/>
      <c r="AQ14" s="187"/>
      <c r="AR14" s="187"/>
      <c r="AS14" s="183">
        <f t="shared" si="1"/>
        <v>1492.73</v>
      </c>
      <c r="AT14" s="887">
        <f t="shared" si="5"/>
        <v>0</v>
      </c>
      <c r="AU14" s="233">
        <f>D14</f>
        <v>38781.54</v>
      </c>
      <c r="AX14" s="791">
        <f t="shared" si="8"/>
        <v>0</v>
      </c>
    </row>
    <row r="15" spans="2:50" ht="13.5" customHeight="1" x14ac:dyDescent="0.3">
      <c r="B15" s="813">
        <v>44535</v>
      </c>
      <c r="C15" s="324">
        <v>0.05</v>
      </c>
      <c r="D15" s="814">
        <f t="shared" si="7"/>
        <v>37288.81</v>
      </c>
      <c r="E15" s="812"/>
      <c r="F15" s="812"/>
      <c r="G15" s="172"/>
      <c r="H15" s="805">
        <v>854.96</v>
      </c>
      <c r="I15" s="800"/>
      <c r="J15" s="189"/>
      <c r="K15" s="172"/>
      <c r="L15" s="166">
        <v>391.97</v>
      </c>
      <c r="M15" s="248"/>
      <c r="N15" s="247">
        <v>2161</v>
      </c>
      <c r="O15" s="174"/>
      <c r="P15" s="174"/>
      <c r="Q15" s="174"/>
      <c r="R15" s="174">
        <v>985</v>
      </c>
      <c r="S15" s="448"/>
      <c r="T15" s="455">
        <f t="shared" si="3"/>
        <v>1246.93</v>
      </c>
      <c r="U15" s="185">
        <f t="shared" si="4"/>
        <v>3146</v>
      </c>
      <c r="V15" s="772">
        <f t="shared" si="9"/>
        <v>0.39635410044500957</v>
      </c>
      <c r="W15" s="179"/>
      <c r="X15" s="186"/>
      <c r="Y15" s="166">
        <v>29.5</v>
      </c>
      <c r="Z15" s="186"/>
      <c r="AA15" s="172">
        <v>23.83</v>
      </c>
      <c r="AB15" s="221"/>
      <c r="AC15" s="186"/>
      <c r="AD15" s="186"/>
      <c r="AE15" s="186"/>
      <c r="AF15" s="186"/>
      <c r="AG15" s="186"/>
      <c r="AH15" s="186"/>
      <c r="AI15" s="186"/>
      <c r="AJ15" s="311"/>
      <c r="AK15" s="226">
        <f>SUM(W15:AJ15)</f>
        <v>53.33</v>
      </c>
      <c r="AL15" s="187"/>
      <c r="AM15" s="187"/>
      <c r="AN15" s="187"/>
      <c r="AO15" s="187"/>
      <c r="AP15" s="187"/>
      <c r="AQ15" s="187"/>
      <c r="AR15" s="187"/>
      <c r="AS15" s="183">
        <f t="shared" si="1"/>
        <v>1300.26</v>
      </c>
      <c r="AT15" s="887">
        <f t="shared" si="5"/>
        <v>0</v>
      </c>
      <c r="AU15" s="233">
        <f t="shared" si="6"/>
        <v>37288.81</v>
      </c>
      <c r="AX15" s="791">
        <f t="shared" si="8"/>
        <v>0</v>
      </c>
    </row>
    <row r="16" spans="2:50" ht="13.5" customHeight="1" x14ac:dyDescent="0.3">
      <c r="B16" s="813">
        <v>44536</v>
      </c>
      <c r="C16" s="324">
        <v>7.7899999999999997E-2</v>
      </c>
      <c r="D16" s="814">
        <f t="shared" si="7"/>
        <v>35988.549999999996</v>
      </c>
      <c r="E16" s="812"/>
      <c r="F16" s="812"/>
      <c r="G16" s="172"/>
      <c r="H16" s="805"/>
      <c r="I16" s="800"/>
      <c r="J16" s="189"/>
      <c r="K16" s="172"/>
      <c r="L16" s="166">
        <v>486.81</v>
      </c>
      <c r="M16" s="248">
        <v>839.08</v>
      </c>
      <c r="N16" s="247"/>
      <c r="O16" s="174"/>
      <c r="P16" s="174"/>
      <c r="Q16" s="174"/>
      <c r="R16" s="174">
        <v>1191</v>
      </c>
      <c r="S16" s="448">
        <v>2170</v>
      </c>
      <c r="T16" s="455">
        <f t="shared" si="3"/>
        <v>1325.89</v>
      </c>
      <c r="U16" s="185">
        <f t="shared" si="4"/>
        <v>3361</v>
      </c>
      <c r="V16" s="772">
        <f>T16/U16</f>
        <v>0.39449271050282658</v>
      </c>
      <c r="W16" s="179">
        <v>67.400000000000006</v>
      </c>
      <c r="X16" s="186"/>
      <c r="Y16" s="166"/>
      <c r="Z16" s="186"/>
      <c r="AA16" s="172"/>
      <c r="AB16" s="221"/>
      <c r="AC16" s="186"/>
      <c r="AD16" s="186"/>
      <c r="AE16" s="186"/>
      <c r="AF16" s="186"/>
      <c r="AG16" s="186"/>
      <c r="AH16" s="186"/>
      <c r="AI16" s="186"/>
      <c r="AK16" s="226">
        <f t="shared" si="2"/>
        <v>67.400000000000006</v>
      </c>
      <c r="AL16" s="187"/>
      <c r="AM16" s="187"/>
      <c r="AN16" s="187"/>
      <c r="AO16" s="187"/>
      <c r="AP16" s="187"/>
      <c r="AQ16" s="187"/>
      <c r="AR16" s="187"/>
      <c r="AS16" s="183">
        <f t="shared" si="1"/>
        <v>1393.2900000000002</v>
      </c>
      <c r="AT16" s="887">
        <f t="shared" si="5"/>
        <v>0</v>
      </c>
      <c r="AU16" s="233">
        <f t="shared" si="6"/>
        <v>35988.549999999996</v>
      </c>
      <c r="AX16" s="791">
        <f t="shared" si="8"/>
        <v>0</v>
      </c>
    </row>
    <row r="17" spans="2:50" ht="13.5" customHeight="1" x14ac:dyDescent="0.3">
      <c r="B17" s="813">
        <v>44537</v>
      </c>
      <c r="C17" s="324">
        <v>7.7899999999999997E-2</v>
      </c>
      <c r="D17" s="814">
        <f t="shared" si="7"/>
        <v>34595.259999999995</v>
      </c>
      <c r="E17" s="812"/>
      <c r="F17" s="812">
        <v>18000</v>
      </c>
      <c r="G17" s="815" t="s">
        <v>164</v>
      </c>
      <c r="H17" s="805">
        <v>906.64</v>
      </c>
      <c r="I17" s="800"/>
      <c r="J17" s="189"/>
      <c r="K17" s="172"/>
      <c r="L17" s="172">
        <v>462.3</v>
      </c>
      <c r="M17" s="248"/>
      <c r="N17" s="247">
        <v>2209</v>
      </c>
      <c r="O17" s="174"/>
      <c r="P17" s="174"/>
      <c r="Q17" s="174"/>
      <c r="R17" s="174">
        <v>1171</v>
      </c>
      <c r="S17" s="448"/>
      <c r="T17" s="455">
        <f t="shared" si="3"/>
        <v>1368.94</v>
      </c>
      <c r="U17" s="185">
        <f t="shared" si="4"/>
        <v>3380</v>
      </c>
      <c r="V17" s="720">
        <f t="shared" si="9"/>
        <v>0.40501183431952664</v>
      </c>
      <c r="W17" s="179"/>
      <c r="X17" s="186"/>
      <c r="Y17" s="166">
        <v>19.739999999999998</v>
      </c>
      <c r="Z17" s="186"/>
      <c r="AA17" s="172">
        <v>27.2</v>
      </c>
      <c r="AB17" s="221"/>
      <c r="AC17" s="186"/>
      <c r="AD17" s="186"/>
      <c r="AE17" s="186"/>
      <c r="AF17" s="186"/>
      <c r="AG17" s="186"/>
      <c r="AH17" s="186"/>
      <c r="AI17" s="186">
        <v>89</v>
      </c>
      <c r="AJ17" s="311"/>
      <c r="AK17" s="226">
        <f t="shared" si="2"/>
        <v>135.94</v>
      </c>
      <c r="AL17" s="187"/>
      <c r="AM17" s="187"/>
      <c r="AN17" s="187"/>
      <c r="AO17" s="187"/>
      <c r="AP17" s="187"/>
      <c r="AQ17" s="187"/>
      <c r="AR17" s="187"/>
      <c r="AS17" s="183">
        <f t="shared" si="1"/>
        <v>1504.88</v>
      </c>
      <c r="AT17" s="887">
        <f t="shared" si="5"/>
        <v>0</v>
      </c>
      <c r="AU17" s="233">
        <f t="shared" si="6"/>
        <v>34595.259999999995</v>
      </c>
      <c r="AX17" s="791">
        <f t="shared" si="8"/>
        <v>0</v>
      </c>
    </row>
    <row r="18" spans="2:50" ht="13.5" customHeight="1" x14ac:dyDescent="0.3">
      <c r="B18" s="813">
        <v>44538</v>
      </c>
      <c r="C18" s="324">
        <v>0.12</v>
      </c>
      <c r="D18" s="814">
        <f t="shared" si="7"/>
        <v>33090.379999999997</v>
      </c>
      <c r="E18" s="812"/>
      <c r="F18" s="812"/>
      <c r="G18" s="172"/>
      <c r="H18" s="805"/>
      <c r="I18" s="800"/>
      <c r="J18" s="189"/>
      <c r="K18" s="172">
        <v>622.72</v>
      </c>
      <c r="M18" s="792">
        <v>904.88</v>
      </c>
      <c r="N18" s="247"/>
      <c r="O18" s="174"/>
      <c r="P18" s="174"/>
      <c r="Q18" s="174">
        <v>1282</v>
      </c>
      <c r="R18" s="174"/>
      <c r="S18" s="174">
        <v>2380</v>
      </c>
      <c r="T18" s="455">
        <f t="shared" si="3"/>
        <v>1527.6</v>
      </c>
      <c r="U18" s="185">
        <f>SUM(N18:S18)</f>
        <v>3662</v>
      </c>
      <c r="V18" s="720">
        <f>T18/U18</f>
        <v>0.41714909885308571</v>
      </c>
      <c r="W18" s="179"/>
      <c r="X18" s="186"/>
      <c r="Y18" s="166">
        <v>9.44</v>
      </c>
      <c r="Z18" s="186"/>
      <c r="AA18" s="172">
        <v>74.150000000000006</v>
      </c>
      <c r="AB18" s="221"/>
      <c r="AC18" s="186"/>
      <c r="AD18" s="186"/>
      <c r="AE18" s="186"/>
      <c r="AF18" s="186"/>
      <c r="AG18" s="186"/>
      <c r="AH18" s="186"/>
      <c r="AI18" s="186"/>
      <c r="AJ18" s="311"/>
      <c r="AK18" s="226">
        <f t="shared" si="2"/>
        <v>83.59</v>
      </c>
      <c r="AL18" s="187"/>
      <c r="AM18" s="187"/>
      <c r="AN18" s="187"/>
      <c r="AO18" s="187"/>
      <c r="AP18" s="187"/>
      <c r="AQ18" s="187"/>
      <c r="AR18" s="187"/>
      <c r="AS18" s="183">
        <f t="shared" si="1"/>
        <v>1611.1899999999998</v>
      </c>
      <c r="AT18" s="887">
        <f t="shared" si="5"/>
        <v>0</v>
      </c>
      <c r="AU18" s="233">
        <f t="shared" si="6"/>
        <v>33090.379999999997</v>
      </c>
      <c r="AX18" s="791">
        <f t="shared" si="8"/>
        <v>0</v>
      </c>
    </row>
    <row r="19" spans="2:50" ht="13.5" customHeight="1" x14ac:dyDescent="0.3">
      <c r="B19" s="813">
        <v>44539</v>
      </c>
      <c r="C19" s="324">
        <v>0.09</v>
      </c>
      <c r="D19" s="814">
        <f t="shared" si="7"/>
        <v>31479.19</v>
      </c>
      <c r="E19" s="812"/>
      <c r="F19" s="812"/>
      <c r="G19" s="172"/>
      <c r="H19" s="805">
        <v>869.94</v>
      </c>
      <c r="I19" s="800"/>
      <c r="J19" s="189"/>
      <c r="K19" s="172">
        <v>501.72</v>
      </c>
      <c r="L19" s="172"/>
      <c r="M19" s="248"/>
      <c r="N19" s="247">
        <v>2189</v>
      </c>
      <c r="O19" s="174"/>
      <c r="P19" s="174"/>
      <c r="Q19" s="174">
        <v>1210</v>
      </c>
      <c r="S19" s="448"/>
      <c r="T19" s="455">
        <f t="shared" si="3"/>
        <v>1371.66</v>
      </c>
      <c r="U19" s="185">
        <f t="shared" si="4"/>
        <v>3399</v>
      </c>
      <c r="V19" s="720">
        <f t="shared" si="9"/>
        <v>0.40354810238305389</v>
      </c>
      <c r="W19" s="179"/>
      <c r="X19" s="186"/>
      <c r="Y19" s="166">
        <v>51.98</v>
      </c>
      <c r="Z19" s="186"/>
      <c r="AA19" s="172"/>
      <c r="AB19" s="221"/>
      <c r="AC19" s="186"/>
      <c r="AD19" s="186"/>
      <c r="AE19" s="186"/>
      <c r="AF19" s="186"/>
      <c r="AG19" s="186"/>
      <c r="AH19" s="186"/>
      <c r="AI19" s="186"/>
      <c r="AJ19" s="311"/>
      <c r="AK19" s="226">
        <f t="shared" si="2"/>
        <v>51.98</v>
      </c>
      <c r="AL19" s="187"/>
      <c r="AM19" s="182"/>
      <c r="AN19" s="187"/>
      <c r="AO19" s="191"/>
      <c r="AP19" s="191"/>
      <c r="AQ19" s="191"/>
      <c r="AR19" s="192"/>
      <c r="AS19" s="183">
        <f t="shared" si="1"/>
        <v>1423.64</v>
      </c>
      <c r="AT19" s="887">
        <f t="shared" si="5"/>
        <v>0</v>
      </c>
      <c r="AU19" s="233">
        <f t="shared" si="6"/>
        <v>31479.19</v>
      </c>
      <c r="AX19" s="791">
        <f t="shared" si="8"/>
        <v>0</v>
      </c>
    </row>
    <row r="20" spans="2:50" ht="14.25" x14ac:dyDescent="0.3">
      <c r="B20" s="813">
        <v>44540</v>
      </c>
      <c r="C20" s="324">
        <v>0.12</v>
      </c>
      <c r="D20" s="814">
        <f t="shared" si="7"/>
        <v>30055.55</v>
      </c>
      <c r="E20" s="812"/>
      <c r="F20" s="812"/>
      <c r="G20" s="172"/>
      <c r="H20" s="805"/>
      <c r="I20" s="801"/>
      <c r="J20" s="189"/>
      <c r="K20" s="172"/>
      <c r="L20" s="172">
        <v>474.74</v>
      </c>
      <c r="M20" s="418">
        <v>872.59</v>
      </c>
      <c r="N20" s="247"/>
      <c r="O20" s="174"/>
      <c r="P20" s="174"/>
      <c r="Q20" s="174"/>
      <c r="R20" s="174">
        <v>1182</v>
      </c>
      <c r="S20" s="448">
        <v>2258</v>
      </c>
      <c r="T20" s="455">
        <f t="shared" si="3"/>
        <v>1347.33</v>
      </c>
      <c r="U20" s="185">
        <f t="shared" si="4"/>
        <v>3440</v>
      </c>
      <c r="V20" s="720">
        <f t="shared" si="9"/>
        <v>0.39166569767441856</v>
      </c>
      <c r="W20" s="179"/>
      <c r="X20" s="186"/>
      <c r="Y20" s="166">
        <v>23.35</v>
      </c>
      <c r="Z20" s="186"/>
      <c r="AA20" s="172">
        <v>39.299999999999997</v>
      </c>
      <c r="AB20" s="221"/>
      <c r="AC20" s="186"/>
      <c r="AD20" s="186"/>
      <c r="AE20" s="186"/>
      <c r="AF20" s="186"/>
      <c r="AG20" s="186"/>
      <c r="AH20" s="186"/>
      <c r="AI20" s="186">
        <v>279</v>
      </c>
      <c r="AJ20" s="311">
        <v>107</v>
      </c>
      <c r="AK20" s="226">
        <f t="shared" si="2"/>
        <v>448.65</v>
      </c>
      <c r="AL20" s="187"/>
      <c r="AM20" s="182"/>
      <c r="AN20" s="187"/>
      <c r="AO20" s="191"/>
      <c r="AP20" s="191"/>
      <c r="AQ20" s="191"/>
      <c r="AR20" s="192"/>
      <c r="AS20" s="183">
        <f t="shared" si="1"/>
        <v>1795.98</v>
      </c>
      <c r="AT20" s="887">
        <f t="shared" si="5"/>
        <v>0</v>
      </c>
      <c r="AU20" s="233">
        <f t="shared" si="6"/>
        <v>30055.55</v>
      </c>
      <c r="AX20" s="791">
        <f t="shared" si="8"/>
        <v>0</v>
      </c>
    </row>
    <row r="21" spans="2:50" ht="14.25" x14ac:dyDescent="0.3">
      <c r="B21" s="813">
        <v>44541</v>
      </c>
      <c r="C21" s="324">
        <v>0.12</v>
      </c>
      <c r="D21" s="814">
        <f t="shared" si="7"/>
        <v>28259.57</v>
      </c>
      <c r="E21" s="812"/>
      <c r="F21" s="812"/>
      <c r="G21" s="172"/>
      <c r="H21" s="805">
        <v>783.8</v>
      </c>
      <c r="I21" s="801"/>
      <c r="J21" s="189"/>
      <c r="K21" s="172">
        <v>728.99</v>
      </c>
      <c r="L21" s="172"/>
      <c r="M21" s="390"/>
      <c r="N21" s="247">
        <v>1945</v>
      </c>
      <c r="O21" s="247"/>
      <c r="P21" s="174"/>
      <c r="Q21" s="174">
        <v>1751</v>
      </c>
      <c r="R21" s="174"/>
      <c r="S21" s="448"/>
      <c r="T21" s="455">
        <f t="shared" si="3"/>
        <v>1512.79</v>
      </c>
      <c r="U21" s="185">
        <f t="shared" si="4"/>
        <v>3696</v>
      </c>
      <c r="V21" s="720">
        <f t="shared" si="9"/>
        <v>0.40930465367965368</v>
      </c>
      <c r="W21" s="179"/>
      <c r="X21" s="186"/>
      <c r="Y21" s="166"/>
      <c r="Z21" s="186"/>
      <c r="AA21" s="172">
        <v>37.869999999999997</v>
      </c>
      <c r="AB21" s="221"/>
      <c r="AC21" s="186"/>
      <c r="AD21" s="186"/>
      <c r="AE21" s="186"/>
      <c r="AF21" s="186"/>
      <c r="AG21" s="186"/>
      <c r="AH21" s="186"/>
      <c r="AI21" s="186"/>
      <c r="AJ21" s="311"/>
      <c r="AK21" s="226">
        <f t="shared" si="2"/>
        <v>37.869999999999997</v>
      </c>
      <c r="AL21" s="181"/>
      <c r="AM21" s="182"/>
      <c r="AN21" s="187"/>
      <c r="AO21" s="191"/>
      <c r="AP21" s="191"/>
      <c r="AQ21" s="191"/>
      <c r="AR21" s="192"/>
      <c r="AS21" s="183">
        <f>SUM(AK21+T21)</f>
        <v>1550.6599999999999</v>
      </c>
      <c r="AT21" s="887">
        <f t="shared" si="5"/>
        <v>0</v>
      </c>
      <c r="AU21" s="233">
        <f t="shared" si="6"/>
        <v>28259.57</v>
      </c>
      <c r="AX21" s="791">
        <f t="shared" si="8"/>
        <v>0</v>
      </c>
    </row>
    <row r="22" spans="2:50" ht="14.25" x14ac:dyDescent="0.3">
      <c r="B22" s="813">
        <v>44542</v>
      </c>
      <c r="C22" s="324">
        <v>0.12</v>
      </c>
      <c r="D22" s="814">
        <f t="shared" si="7"/>
        <v>26708.91</v>
      </c>
      <c r="E22" s="812"/>
      <c r="F22" s="812"/>
      <c r="G22" s="172"/>
      <c r="H22" s="805"/>
      <c r="I22" s="800"/>
      <c r="J22" s="189"/>
      <c r="K22" s="172">
        <v>511.98</v>
      </c>
      <c r="L22" s="172"/>
      <c r="M22" s="418">
        <v>973.26</v>
      </c>
      <c r="N22" s="247"/>
      <c r="O22" s="247"/>
      <c r="P22" s="174"/>
      <c r="Q22" s="174">
        <v>1249</v>
      </c>
      <c r="R22" s="174"/>
      <c r="S22" s="448">
        <v>2397</v>
      </c>
      <c r="T22" s="455">
        <f t="shared" si="3"/>
        <v>1485.24</v>
      </c>
      <c r="U22" s="185">
        <f t="shared" si="4"/>
        <v>3646</v>
      </c>
      <c r="V22" s="720">
        <f t="shared" si="9"/>
        <v>0.40736149204607791</v>
      </c>
      <c r="W22" s="179"/>
      <c r="X22" s="186"/>
      <c r="Y22" s="166"/>
      <c r="Z22" s="186"/>
      <c r="AA22" s="172">
        <v>68.16</v>
      </c>
      <c r="AB22" s="221"/>
      <c r="AC22" s="186"/>
      <c r="AD22" s="186"/>
      <c r="AE22" s="186"/>
      <c r="AF22" s="186"/>
      <c r="AG22" s="186"/>
      <c r="AH22" s="186"/>
      <c r="AI22" s="186"/>
      <c r="AJ22" s="311"/>
      <c r="AK22" s="226">
        <f t="shared" si="2"/>
        <v>68.16</v>
      </c>
      <c r="AL22" s="181"/>
      <c r="AM22" s="182"/>
      <c r="AN22" s="187"/>
      <c r="AO22" s="191"/>
      <c r="AP22" s="191"/>
      <c r="AQ22" s="191"/>
      <c r="AR22" s="192"/>
      <c r="AS22" s="183">
        <f t="shared" si="1"/>
        <v>1553.4</v>
      </c>
      <c r="AT22" s="188">
        <f t="shared" ref="AT22:AT44" si="10">AS22*AV22</f>
        <v>0</v>
      </c>
      <c r="AU22" s="233">
        <f t="shared" si="6"/>
        <v>26708.91</v>
      </c>
      <c r="AX22" s="791">
        <f t="shared" si="8"/>
        <v>0</v>
      </c>
    </row>
    <row r="23" spans="2:50" ht="13.5" customHeight="1" x14ac:dyDescent="0.3">
      <c r="B23" s="813">
        <v>44543</v>
      </c>
      <c r="C23" s="324">
        <v>0.16</v>
      </c>
      <c r="D23" s="814">
        <f t="shared" si="7"/>
        <v>25155.51</v>
      </c>
      <c r="E23" s="812"/>
      <c r="F23" s="812"/>
      <c r="G23" s="172"/>
      <c r="H23" s="805">
        <v>797.57</v>
      </c>
      <c r="I23" s="801"/>
      <c r="J23" s="189"/>
      <c r="K23" s="172">
        <v>522</v>
      </c>
      <c r="L23" s="172">
        <v>260.06</v>
      </c>
      <c r="M23" s="418"/>
      <c r="N23" s="247">
        <v>2079</v>
      </c>
      <c r="O23" s="174"/>
      <c r="P23" s="174"/>
      <c r="Q23" s="174">
        <v>1317</v>
      </c>
      <c r="R23" s="174">
        <v>571</v>
      </c>
      <c r="S23" s="448"/>
      <c r="T23" s="455">
        <f t="shared" si="3"/>
        <v>1579.63</v>
      </c>
      <c r="U23" s="185">
        <f t="shared" si="4"/>
        <v>3967</v>
      </c>
      <c r="V23" s="720">
        <f t="shared" si="9"/>
        <v>0.39819258885807918</v>
      </c>
      <c r="W23" s="179"/>
      <c r="X23" s="186"/>
      <c r="Y23" s="166">
        <v>12.93</v>
      </c>
      <c r="Z23" s="186"/>
      <c r="AA23" s="172"/>
      <c r="AB23" s="221">
        <v>90.32</v>
      </c>
      <c r="AC23" s="186"/>
      <c r="AD23" s="186"/>
      <c r="AE23" s="186"/>
      <c r="AF23" s="186"/>
      <c r="AG23" s="186"/>
      <c r="AH23" s="186"/>
      <c r="AI23" s="186"/>
      <c r="AJ23" s="311"/>
      <c r="AK23" s="226">
        <f t="shared" si="2"/>
        <v>103.25</v>
      </c>
      <c r="AL23" s="181"/>
      <c r="AM23" s="181"/>
      <c r="AN23" s="181"/>
      <c r="AO23" s="181"/>
      <c r="AP23" s="181"/>
      <c r="AQ23" s="181"/>
      <c r="AR23" s="181"/>
      <c r="AS23" s="183">
        <f t="shared" si="1"/>
        <v>1682.88</v>
      </c>
      <c r="AT23" s="188">
        <f t="shared" si="10"/>
        <v>0</v>
      </c>
      <c r="AU23" s="233">
        <f t="shared" si="6"/>
        <v>25155.51</v>
      </c>
      <c r="AX23" s="791">
        <f t="shared" si="8"/>
        <v>0</v>
      </c>
    </row>
    <row r="24" spans="2:50" ht="14.25" x14ac:dyDescent="0.3">
      <c r="B24" s="813">
        <v>44544</v>
      </c>
      <c r="C24" s="324">
        <v>0.17</v>
      </c>
      <c r="D24" s="814">
        <f t="shared" si="7"/>
        <v>41472.629999999997</v>
      </c>
      <c r="E24" s="812">
        <v>18000</v>
      </c>
      <c r="F24" s="812"/>
      <c r="G24" s="172"/>
      <c r="H24" s="805"/>
      <c r="I24" s="800"/>
      <c r="J24" s="189"/>
      <c r="K24" s="172">
        <v>470.7</v>
      </c>
      <c r="L24" s="172"/>
      <c r="M24" s="418">
        <v>871.52</v>
      </c>
      <c r="N24" s="247"/>
      <c r="O24" s="247"/>
      <c r="P24" s="174"/>
      <c r="Q24" s="174">
        <v>1152</v>
      </c>
      <c r="R24" s="174"/>
      <c r="S24" s="448">
        <v>2259</v>
      </c>
      <c r="T24" s="455">
        <f t="shared" si="3"/>
        <v>1342.22</v>
      </c>
      <c r="U24" s="185">
        <f t="shared" si="4"/>
        <v>3411</v>
      </c>
      <c r="V24" s="720">
        <f t="shared" si="9"/>
        <v>0.39349750806215189</v>
      </c>
      <c r="W24" s="179"/>
      <c r="X24" s="186"/>
      <c r="Y24" s="166"/>
      <c r="Z24" s="186"/>
      <c r="AA24" s="172">
        <v>56.5</v>
      </c>
      <c r="AB24" s="221"/>
      <c r="AC24" s="186"/>
      <c r="AD24" s="186"/>
      <c r="AE24" s="186"/>
      <c r="AF24" s="186"/>
      <c r="AG24" s="186"/>
      <c r="AH24" s="186"/>
      <c r="AI24" s="186">
        <v>138</v>
      </c>
      <c r="AJ24" s="311"/>
      <c r="AK24" s="226">
        <f t="shared" si="2"/>
        <v>194.5</v>
      </c>
      <c r="AL24" s="181"/>
      <c r="AM24" s="181"/>
      <c r="AN24" s="181"/>
      <c r="AO24" s="181"/>
      <c r="AP24" s="181"/>
      <c r="AQ24" s="181"/>
      <c r="AR24" s="181"/>
      <c r="AS24" s="183">
        <f>SUM(AK24+T24)</f>
        <v>1536.72</v>
      </c>
      <c r="AT24" s="188">
        <f t="shared" si="10"/>
        <v>0</v>
      </c>
      <c r="AU24" s="233">
        <f t="shared" si="6"/>
        <v>41472.629999999997</v>
      </c>
      <c r="AX24" s="791">
        <f t="shared" si="8"/>
        <v>0</v>
      </c>
    </row>
    <row r="25" spans="2:50" ht="14.25" x14ac:dyDescent="0.3">
      <c r="B25" s="813">
        <v>44545</v>
      </c>
      <c r="C25" s="324">
        <v>0.18</v>
      </c>
      <c r="D25" s="814">
        <f t="shared" si="7"/>
        <v>39935.909999999996</v>
      </c>
      <c r="E25" s="812"/>
      <c r="F25" s="812"/>
      <c r="G25" s="172"/>
      <c r="H25" s="805">
        <v>720.56</v>
      </c>
      <c r="I25" s="801"/>
      <c r="J25" s="189"/>
      <c r="K25" s="172">
        <v>479.27</v>
      </c>
      <c r="L25" s="172">
        <v>402.08</v>
      </c>
      <c r="M25" s="418"/>
      <c r="N25" s="247">
        <v>1798</v>
      </c>
      <c r="O25" s="174"/>
      <c r="P25" s="174"/>
      <c r="Q25" s="174">
        <v>1185</v>
      </c>
      <c r="R25" s="174">
        <v>895</v>
      </c>
      <c r="S25" s="174"/>
      <c r="T25" s="455">
        <f t="shared" si="3"/>
        <v>1601.9099999999999</v>
      </c>
      <c r="U25" s="185">
        <f t="shared" si="4"/>
        <v>3878</v>
      </c>
      <c r="V25" s="720">
        <f t="shared" si="9"/>
        <v>0.4130763280041258</v>
      </c>
      <c r="W25" s="179"/>
      <c r="X25" s="186"/>
      <c r="Y25" s="166"/>
      <c r="Z25" s="186"/>
      <c r="AA25" s="172"/>
      <c r="AB25" s="221"/>
      <c r="AC25" s="186"/>
      <c r="AD25" s="186"/>
      <c r="AE25" s="186"/>
      <c r="AF25" s="186"/>
      <c r="AG25" s="186"/>
      <c r="AH25" s="186"/>
      <c r="AI25" s="186"/>
      <c r="AJ25" s="311"/>
      <c r="AK25" s="226">
        <f t="shared" si="2"/>
        <v>0</v>
      </c>
      <c r="AL25" s="181"/>
      <c r="AM25" s="181"/>
      <c r="AN25" s="181"/>
      <c r="AO25" s="181"/>
      <c r="AP25" s="181"/>
      <c r="AQ25" s="181"/>
      <c r="AR25" s="181"/>
      <c r="AS25" s="183">
        <f t="shared" si="1"/>
        <v>1601.9099999999999</v>
      </c>
      <c r="AT25" s="188">
        <f t="shared" si="10"/>
        <v>0</v>
      </c>
      <c r="AU25" s="233">
        <f t="shared" si="6"/>
        <v>39935.909999999996</v>
      </c>
      <c r="AX25" s="791">
        <f t="shared" si="8"/>
        <v>0</v>
      </c>
    </row>
    <row r="26" spans="2:50" ht="14.25" x14ac:dyDescent="0.3">
      <c r="B26" s="813">
        <v>44546</v>
      </c>
      <c r="C26" s="324">
        <v>0.16</v>
      </c>
      <c r="D26" s="814">
        <f t="shared" si="7"/>
        <v>38334</v>
      </c>
      <c r="E26" s="812"/>
      <c r="F26" s="812"/>
      <c r="G26" s="172"/>
      <c r="H26" s="805">
        <v>81</v>
      </c>
      <c r="I26" s="801"/>
      <c r="J26" s="173"/>
      <c r="K26" s="172">
        <v>477.78</v>
      </c>
      <c r="L26" s="172"/>
      <c r="M26" s="418">
        <v>967.79</v>
      </c>
      <c r="N26" s="247">
        <v>117</v>
      </c>
      <c r="O26" s="174"/>
      <c r="P26" s="174"/>
      <c r="Q26" s="174">
        <v>1200</v>
      </c>
      <c r="R26" s="174"/>
      <c r="S26" s="448">
        <v>2589</v>
      </c>
      <c r="T26" s="455">
        <f t="shared" si="3"/>
        <v>1526.57</v>
      </c>
      <c r="U26" s="185">
        <f t="shared" si="4"/>
        <v>3906</v>
      </c>
      <c r="V26" s="720">
        <f t="shared" si="9"/>
        <v>0.39082693292370713</v>
      </c>
      <c r="W26" s="179"/>
      <c r="X26" s="186">
        <v>114.28</v>
      </c>
      <c r="Y26" s="166"/>
      <c r="Z26" s="186"/>
      <c r="AA26" s="186"/>
      <c r="AB26" s="221"/>
      <c r="AC26" s="186"/>
      <c r="AD26" s="186">
        <v>62.48</v>
      </c>
      <c r="AE26" s="186"/>
      <c r="AF26" s="186"/>
      <c r="AG26" s="186"/>
      <c r="AH26" s="186"/>
      <c r="AI26" s="186"/>
      <c r="AJ26" s="311"/>
      <c r="AK26" s="226">
        <f t="shared" si="2"/>
        <v>176.76</v>
      </c>
      <c r="AL26" s="181"/>
      <c r="AM26" s="181"/>
      <c r="AN26" s="181"/>
      <c r="AO26" s="181"/>
      <c r="AP26" s="181"/>
      <c r="AQ26" s="181"/>
      <c r="AR26" s="181"/>
      <c r="AS26" s="183">
        <f t="shared" si="1"/>
        <v>1703.33</v>
      </c>
      <c r="AT26" s="188">
        <f t="shared" si="10"/>
        <v>0</v>
      </c>
      <c r="AU26" s="233">
        <f t="shared" si="6"/>
        <v>38334</v>
      </c>
      <c r="AX26" s="791">
        <f t="shared" si="8"/>
        <v>0</v>
      </c>
    </row>
    <row r="27" spans="2:50" ht="14.25" x14ac:dyDescent="0.3">
      <c r="B27" s="813">
        <v>44547</v>
      </c>
      <c r="C27" s="324">
        <v>0.16</v>
      </c>
      <c r="D27" s="814">
        <f>SUM(D26-AS26+E27)</f>
        <v>51630.67</v>
      </c>
      <c r="E27" s="812">
        <v>15000</v>
      </c>
      <c r="F27" s="812">
        <v>15000</v>
      </c>
      <c r="G27" s="815" t="s">
        <v>164</v>
      </c>
      <c r="H27" s="805">
        <v>1024.79</v>
      </c>
      <c r="I27" s="801"/>
      <c r="J27" s="173"/>
      <c r="K27" s="172"/>
      <c r="L27" s="172">
        <v>494.58</v>
      </c>
      <c r="M27" s="418"/>
      <c r="N27" s="247">
        <v>2549</v>
      </c>
      <c r="O27" s="174"/>
      <c r="P27" s="174"/>
      <c r="Q27" s="174"/>
      <c r="R27" s="174">
        <v>1215</v>
      </c>
      <c r="S27" s="448"/>
      <c r="T27" s="455">
        <f t="shared" si="3"/>
        <v>1519.37</v>
      </c>
      <c r="U27" s="185">
        <f t="shared" si="4"/>
        <v>3764</v>
      </c>
      <c r="V27" s="720">
        <f t="shared" si="9"/>
        <v>0.40365834218916041</v>
      </c>
      <c r="W27" s="179"/>
      <c r="X27" s="186">
        <v>26</v>
      </c>
      <c r="Y27" s="166">
        <v>35.53</v>
      </c>
      <c r="Z27" s="186"/>
      <c r="AA27" s="172"/>
      <c r="AB27" s="221"/>
      <c r="AC27" s="186"/>
      <c r="AD27" s="186"/>
      <c r="AE27" s="186"/>
      <c r="AF27" s="186"/>
      <c r="AG27" s="186"/>
      <c r="AH27" s="186"/>
      <c r="AI27" s="186">
        <v>54</v>
      </c>
      <c r="AJ27" s="311"/>
      <c r="AK27" s="226">
        <f t="shared" si="2"/>
        <v>115.53</v>
      </c>
      <c r="AL27" s="181"/>
      <c r="AM27" s="181"/>
      <c r="AN27" s="181"/>
      <c r="AO27" s="181"/>
      <c r="AP27" s="181"/>
      <c r="AQ27" s="181"/>
      <c r="AR27" s="181"/>
      <c r="AS27" s="183">
        <f t="shared" si="1"/>
        <v>1634.8999999999999</v>
      </c>
      <c r="AT27" s="188">
        <f t="shared" si="10"/>
        <v>0</v>
      </c>
      <c r="AU27" s="233">
        <f t="shared" si="6"/>
        <v>51630.67</v>
      </c>
      <c r="AX27" s="791">
        <f t="shared" si="8"/>
        <v>0</v>
      </c>
    </row>
    <row r="28" spans="2:50" ht="14.25" x14ac:dyDescent="0.3">
      <c r="B28" s="813">
        <v>44548</v>
      </c>
      <c r="C28" s="324">
        <v>0.13</v>
      </c>
      <c r="D28" s="814">
        <f t="shared" si="7"/>
        <v>49995.77</v>
      </c>
      <c r="E28" s="812"/>
      <c r="F28" s="812"/>
      <c r="G28" s="172"/>
      <c r="H28" s="805"/>
      <c r="I28" s="801"/>
      <c r="J28" s="173"/>
      <c r="K28" s="158">
        <v>527.07000000000005</v>
      </c>
      <c r="L28" s="172"/>
      <c r="M28" s="418">
        <v>1004.55</v>
      </c>
      <c r="N28" s="247"/>
      <c r="O28" s="174"/>
      <c r="P28" s="174"/>
      <c r="Q28" s="174">
        <v>1313</v>
      </c>
      <c r="R28" s="174"/>
      <c r="S28" s="448">
        <v>2569</v>
      </c>
      <c r="T28" s="455">
        <f t="shared" si="3"/>
        <v>1531.62</v>
      </c>
      <c r="U28" s="185">
        <f t="shared" si="4"/>
        <v>3882</v>
      </c>
      <c r="V28" s="720">
        <f t="shared" si="9"/>
        <v>0.3945440494590417</v>
      </c>
      <c r="W28" s="179"/>
      <c r="X28" s="186"/>
      <c r="Y28" s="166"/>
      <c r="Z28" s="186"/>
      <c r="AA28" s="172"/>
      <c r="AB28" s="221"/>
      <c r="AC28" s="186"/>
      <c r="AD28" s="186"/>
      <c r="AE28" s="186"/>
      <c r="AF28" s="186"/>
      <c r="AG28" s="186"/>
      <c r="AH28" s="186"/>
      <c r="AI28" s="186">
        <v>226</v>
      </c>
      <c r="AJ28" s="311">
        <v>121</v>
      </c>
      <c r="AK28" s="226">
        <f>SUM(W28:AJ28)</f>
        <v>347</v>
      </c>
      <c r="AL28" s="181"/>
      <c r="AM28" s="181"/>
      <c r="AN28" s="181"/>
      <c r="AO28" s="181"/>
      <c r="AP28" s="181"/>
      <c r="AQ28" s="181"/>
      <c r="AR28" s="181"/>
      <c r="AS28" s="183">
        <f t="shared" si="1"/>
        <v>1878.62</v>
      </c>
      <c r="AT28" s="188">
        <f t="shared" si="10"/>
        <v>0</v>
      </c>
      <c r="AU28" s="233">
        <f>D28</f>
        <v>49995.77</v>
      </c>
      <c r="AX28" s="791">
        <f t="shared" si="8"/>
        <v>0</v>
      </c>
    </row>
    <row r="29" spans="2:50" ht="14.25" x14ac:dyDescent="0.3">
      <c r="B29" s="813">
        <v>44549</v>
      </c>
      <c r="C29" s="324">
        <v>0.12</v>
      </c>
      <c r="D29" s="814">
        <f t="shared" si="7"/>
        <v>48117.149999999994</v>
      </c>
      <c r="E29" s="812"/>
      <c r="F29" s="812"/>
      <c r="G29" s="172"/>
      <c r="H29" s="805">
        <v>600.36</v>
      </c>
      <c r="I29" s="801"/>
      <c r="J29" s="173"/>
      <c r="K29" s="172">
        <v>742.28</v>
      </c>
      <c r="L29" s="172"/>
      <c r="M29" s="418">
        <v>248.02</v>
      </c>
      <c r="N29" s="247">
        <v>1429</v>
      </c>
      <c r="O29" s="174"/>
      <c r="P29" s="174"/>
      <c r="Q29" s="174">
        <v>1797</v>
      </c>
      <c r="R29" s="174"/>
      <c r="S29" s="448">
        <v>519</v>
      </c>
      <c r="T29" s="455">
        <f t="shared" si="3"/>
        <v>1590.6599999999999</v>
      </c>
      <c r="U29" s="185">
        <f t="shared" si="4"/>
        <v>3745</v>
      </c>
      <c r="V29" s="720">
        <f t="shared" si="9"/>
        <v>0.42474232309746324</v>
      </c>
      <c r="W29" s="179"/>
      <c r="X29" s="186"/>
      <c r="Y29" s="166"/>
      <c r="Z29" s="186"/>
      <c r="AA29" s="172"/>
      <c r="AB29" s="221"/>
      <c r="AC29" s="186"/>
      <c r="AD29" s="186">
        <v>28.9</v>
      </c>
      <c r="AE29" s="186"/>
      <c r="AF29" s="186"/>
      <c r="AG29" s="186"/>
      <c r="AH29" s="186"/>
      <c r="AI29" s="186"/>
      <c r="AJ29" s="311"/>
      <c r="AK29" s="226">
        <f t="shared" si="2"/>
        <v>28.9</v>
      </c>
      <c r="AL29" s="181"/>
      <c r="AM29" s="181"/>
      <c r="AN29" s="181"/>
      <c r="AO29" s="181"/>
      <c r="AP29" s="181"/>
      <c r="AQ29" s="181"/>
      <c r="AR29" s="181"/>
      <c r="AS29" s="183">
        <f t="shared" si="1"/>
        <v>1619.56</v>
      </c>
      <c r="AT29" s="188">
        <f t="shared" si="10"/>
        <v>0</v>
      </c>
      <c r="AU29" s="233">
        <f t="shared" si="6"/>
        <v>48117.149999999994</v>
      </c>
      <c r="AX29" s="791">
        <f t="shared" si="8"/>
        <v>0</v>
      </c>
    </row>
    <row r="30" spans="2:50" ht="14.25" x14ac:dyDescent="0.3">
      <c r="B30" s="813">
        <v>44550</v>
      </c>
      <c r="C30" s="324">
        <v>0.06</v>
      </c>
      <c r="D30" s="814">
        <f t="shared" si="7"/>
        <v>46497.59</v>
      </c>
      <c r="E30" s="812"/>
      <c r="F30" s="812"/>
      <c r="G30" s="172"/>
      <c r="H30" s="805"/>
      <c r="I30" s="801"/>
      <c r="J30" s="173"/>
      <c r="K30" s="172">
        <v>478.01</v>
      </c>
      <c r="L30" s="172"/>
      <c r="M30" s="418">
        <v>802.57</v>
      </c>
      <c r="N30" s="247"/>
      <c r="O30" s="174"/>
      <c r="P30" s="174"/>
      <c r="Q30" s="174">
        <v>1182</v>
      </c>
      <c r="R30" s="174"/>
      <c r="S30" s="448">
        <v>2075</v>
      </c>
      <c r="T30" s="455">
        <f t="shared" si="3"/>
        <v>1280.58</v>
      </c>
      <c r="U30" s="185">
        <f t="shared" si="4"/>
        <v>3257</v>
      </c>
      <c r="V30" s="720">
        <f t="shared" si="9"/>
        <v>0.39317777095486645</v>
      </c>
      <c r="W30" s="179"/>
      <c r="X30" s="186"/>
      <c r="Y30" s="166">
        <v>37.14</v>
      </c>
      <c r="Z30" s="186"/>
      <c r="AA30" s="172">
        <v>120.35</v>
      </c>
      <c r="AB30" s="221"/>
      <c r="AC30" s="186"/>
      <c r="AD30" s="186"/>
      <c r="AE30" s="186"/>
      <c r="AF30" s="186"/>
      <c r="AG30" s="186"/>
      <c r="AH30" s="186"/>
      <c r="AI30" s="186">
        <v>91</v>
      </c>
      <c r="AJ30" s="311"/>
      <c r="AK30" s="226">
        <f t="shared" si="2"/>
        <v>248.49</v>
      </c>
      <c r="AL30" s="181"/>
      <c r="AM30" s="181"/>
      <c r="AN30" s="181"/>
      <c r="AO30" s="181"/>
      <c r="AP30" s="181"/>
      <c r="AQ30" s="181"/>
      <c r="AR30" s="181"/>
      <c r="AS30" s="183">
        <f t="shared" si="1"/>
        <v>1529.07</v>
      </c>
      <c r="AT30" s="188">
        <f t="shared" si="10"/>
        <v>0</v>
      </c>
      <c r="AU30" s="233">
        <f t="shared" si="6"/>
        <v>46497.59</v>
      </c>
      <c r="AX30" s="791">
        <f t="shared" si="8"/>
        <v>0</v>
      </c>
    </row>
    <row r="31" spans="2:50" ht="14.25" x14ac:dyDescent="0.3">
      <c r="B31" s="813">
        <v>44551</v>
      </c>
      <c r="C31" s="324">
        <v>0.1</v>
      </c>
      <c r="D31" s="814">
        <f t="shared" si="7"/>
        <v>44968.52</v>
      </c>
      <c r="E31" s="812"/>
      <c r="F31" s="812"/>
      <c r="G31" s="172"/>
      <c r="H31" s="805">
        <v>412.99</v>
      </c>
      <c r="I31" s="801"/>
      <c r="J31" s="173"/>
      <c r="K31" s="172">
        <v>465.43</v>
      </c>
      <c r="L31" s="172">
        <v>972.55</v>
      </c>
      <c r="M31" s="418"/>
      <c r="N31" s="247">
        <v>954</v>
      </c>
      <c r="O31" s="174"/>
      <c r="P31" s="174"/>
      <c r="Q31" s="174">
        <v>1151</v>
      </c>
      <c r="R31" s="174">
        <v>2390</v>
      </c>
      <c r="S31" s="448"/>
      <c r="T31" s="455">
        <f t="shared" si="3"/>
        <v>1850.97</v>
      </c>
      <c r="U31" s="185">
        <f t="shared" si="4"/>
        <v>4495</v>
      </c>
      <c r="V31" s="720">
        <f t="shared" si="9"/>
        <v>0.41178420467185761</v>
      </c>
      <c r="W31" s="179"/>
      <c r="X31" s="186"/>
      <c r="Y31" s="166"/>
      <c r="Z31" s="186"/>
      <c r="AA31" s="172"/>
      <c r="AB31" s="221"/>
      <c r="AC31" s="186"/>
      <c r="AD31" s="186"/>
      <c r="AE31" s="186"/>
      <c r="AF31" s="186"/>
      <c r="AG31" s="186"/>
      <c r="AH31" s="186"/>
      <c r="AI31" s="186">
        <v>81</v>
      </c>
      <c r="AJ31" s="311"/>
      <c r="AK31" s="226">
        <f t="shared" si="2"/>
        <v>81</v>
      </c>
      <c r="AL31" s="181"/>
      <c r="AM31" s="181"/>
      <c r="AN31" s="181"/>
      <c r="AO31" s="181"/>
      <c r="AP31" s="181"/>
      <c r="AQ31" s="181"/>
      <c r="AR31" s="181"/>
      <c r="AS31" s="183">
        <f t="shared" si="1"/>
        <v>1931.97</v>
      </c>
      <c r="AT31" s="188">
        <f t="shared" si="10"/>
        <v>0</v>
      </c>
      <c r="AU31" s="233">
        <f t="shared" si="6"/>
        <v>44968.52</v>
      </c>
      <c r="AX31" s="791">
        <f t="shared" si="8"/>
        <v>0</v>
      </c>
    </row>
    <row r="32" spans="2:50" ht="14.25" x14ac:dyDescent="0.3">
      <c r="B32" s="813">
        <v>44552</v>
      </c>
      <c r="C32" s="324">
        <v>0.17</v>
      </c>
      <c r="D32" s="814">
        <f t="shared" si="7"/>
        <v>43036.549999999996</v>
      </c>
      <c r="E32" s="812"/>
      <c r="F32" s="812"/>
      <c r="G32" s="172"/>
      <c r="H32" s="805"/>
      <c r="I32" s="800"/>
      <c r="J32" s="173"/>
      <c r="K32" s="172">
        <v>554.03</v>
      </c>
      <c r="L32" s="172">
        <v>527.80999999999995</v>
      </c>
      <c r="M32" s="418">
        <v>611.99</v>
      </c>
      <c r="N32" s="247"/>
      <c r="O32" s="174"/>
      <c r="P32" s="174"/>
      <c r="Q32" s="174">
        <v>1252</v>
      </c>
      <c r="R32" s="174">
        <v>1268</v>
      </c>
      <c r="S32" s="448">
        <v>1476</v>
      </c>
      <c r="T32" s="455">
        <f t="shared" si="3"/>
        <v>1693.83</v>
      </c>
      <c r="U32" s="185">
        <f t="shared" si="4"/>
        <v>3996</v>
      </c>
      <c r="V32" s="720">
        <f t="shared" si="9"/>
        <v>0.42388138138138137</v>
      </c>
      <c r="W32" s="179"/>
      <c r="X32" s="186"/>
      <c r="Y32" s="166">
        <v>35.35</v>
      </c>
      <c r="Z32" s="186">
        <v>46.66</v>
      </c>
      <c r="AA32" s="172">
        <v>97.42</v>
      </c>
      <c r="AB32" s="221"/>
      <c r="AC32" s="186"/>
      <c r="AD32" s="186"/>
      <c r="AE32" s="186"/>
      <c r="AF32" s="186"/>
      <c r="AG32" s="186"/>
      <c r="AH32" s="186"/>
      <c r="AI32" s="186">
        <v>110</v>
      </c>
      <c r="AJ32" s="311"/>
      <c r="AK32" s="226">
        <f t="shared" si="2"/>
        <v>289.43</v>
      </c>
      <c r="AL32" s="181"/>
      <c r="AM32" s="181"/>
      <c r="AN32" s="181"/>
      <c r="AO32" s="181"/>
      <c r="AP32" s="181"/>
      <c r="AQ32" s="181"/>
      <c r="AR32" s="181"/>
      <c r="AS32" s="183">
        <f>SUM(AK32+T32)</f>
        <v>1983.26</v>
      </c>
      <c r="AT32" s="188">
        <f t="shared" si="10"/>
        <v>0</v>
      </c>
      <c r="AU32" s="233">
        <f t="shared" si="6"/>
        <v>43036.549999999996</v>
      </c>
      <c r="AX32" s="791">
        <f t="shared" si="8"/>
        <v>0</v>
      </c>
    </row>
    <row r="33" spans="2:50" ht="14.25" x14ac:dyDescent="0.3">
      <c r="B33" s="813">
        <v>44553</v>
      </c>
      <c r="C33" s="324">
        <v>0.17</v>
      </c>
      <c r="D33" s="814">
        <f t="shared" si="7"/>
        <v>41053.289999999994</v>
      </c>
      <c r="E33" s="812"/>
      <c r="F33" s="812"/>
      <c r="G33" s="172"/>
      <c r="H33" s="805">
        <v>730.5</v>
      </c>
      <c r="I33" s="800"/>
      <c r="J33" s="173"/>
      <c r="K33" s="172">
        <v>486.8</v>
      </c>
      <c r="L33" s="172">
        <v>463.55</v>
      </c>
      <c r="M33" s="418"/>
      <c r="N33" s="247">
        <v>1800</v>
      </c>
      <c r="O33" s="174"/>
      <c r="P33" s="174"/>
      <c r="Q33" s="174">
        <v>1168</v>
      </c>
      <c r="R33" s="174">
        <v>1224</v>
      </c>
      <c r="S33" s="448"/>
      <c r="T33" s="455">
        <f t="shared" si="3"/>
        <v>1680.85</v>
      </c>
      <c r="U33" s="185">
        <f t="shared" si="4"/>
        <v>4192</v>
      </c>
      <c r="V33" s="720">
        <f t="shared" si="9"/>
        <v>0.40096612595419845</v>
      </c>
      <c r="W33" s="179"/>
      <c r="X33" s="186"/>
      <c r="Y33" s="166">
        <v>54.53</v>
      </c>
      <c r="Z33" s="186"/>
      <c r="AA33" s="172">
        <v>68.11</v>
      </c>
      <c r="AB33" s="221"/>
      <c r="AC33" s="186"/>
      <c r="AD33" s="186"/>
      <c r="AE33" s="186"/>
      <c r="AF33" s="186"/>
      <c r="AG33" s="186"/>
      <c r="AH33" s="186"/>
      <c r="AI33" s="186"/>
      <c r="AJ33" s="311"/>
      <c r="AK33" s="226">
        <f t="shared" si="2"/>
        <v>122.64</v>
      </c>
      <c r="AL33" s="181"/>
      <c r="AM33" s="181"/>
      <c r="AN33" s="181"/>
      <c r="AO33" s="181"/>
      <c r="AP33" s="181"/>
      <c r="AQ33" s="181"/>
      <c r="AR33" s="181"/>
      <c r="AS33" s="183">
        <f t="shared" si="1"/>
        <v>1803.49</v>
      </c>
      <c r="AT33" s="188">
        <f t="shared" si="10"/>
        <v>0</v>
      </c>
      <c r="AU33" s="233">
        <f t="shared" si="6"/>
        <v>41053.289999999994</v>
      </c>
      <c r="AX33" s="791">
        <f t="shared" si="8"/>
        <v>0</v>
      </c>
    </row>
    <row r="34" spans="2:50" ht="14.25" x14ac:dyDescent="0.3">
      <c r="B34" s="813">
        <v>44554</v>
      </c>
      <c r="C34" s="324">
        <v>0.47</v>
      </c>
      <c r="D34" s="814">
        <f t="shared" si="7"/>
        <v>39249.799999999996</v>
      </c>
      <c r="E34" s="812"/>
      <c r="F34" s="812"/>
      <c r="G34" s="172"/>
      <c r="H34" s="805">
        <v>683.76</v>
      </c>
      <c r="I34" s="801"/>
      <c r="J34" s="173"/>
      <c r="K34" s="172"/>
      <c r="L34" s="172">
        <v>652.39</v>
      </c>
      <c r="M34" s="418">
        <v>776.51</v>
      </c>
      <c r="N34" s="247">
        <v>1603</v>
      </c>
      <c r="O34" s="174"/>
      <c r="P34" s="174"/>
      <c r="Q34" s="174"/>
      <c r="R34" s="174">
        <v>1404</v>
      </c>
      <c r="S34" s="448">
        <v>1940</v>
      </c>
      <c r="T34" s="455">
        <f t="shared" si="3"/>
        <v>2112.66</v>
      </c>
      <c r="U34" s="185">
        <f t="shared" si="4"/>
        <v>4947</v>
      </c>
      <c r="V34" s="720">
        <f t="shared" si="9"/>
        <v>0.42705882352941171</v>
      </c>
      <c r="W34" s="179"/>
      <c r="X34" s="186"/>
      <c r="Y34" s="166"/>
      <c r="Z34" s="186"/>
      <c r="AA34" s="172"/>
      <c r="AB34" s="221"/>
      <c r="AC34" s="186"/>
      <c r="AD34" s="186"/>
      <c r="AE34" s="186"/>
      <c r="AF34" s="186"/>
      <c r="AG34" s="186"/>
      <c r="AH34" s="186"/>
      <c r="AI34" s="186"/>
      <c r="AJ34" s="311"/>
      <c r="AK34" s="226">
        <f t="shared" si="2"/>
        <v>0</v>
      </c>
      <c r="AL34" s="181"/>
      <c r="AM34" s="181"/>
      <c r="AN34" s="181"/>
      <c r="AO34" s="181"/>
      <c r="AP34" s="181"/>
      <c r="AQ34" s="181"/>
      <c r="AR34" s="181"/>
      <c r="AS34" s="183">
        <f t="shared" si="1"/>
        <v>2112.66</v>
      </c>
      <c r="AT34" s="188">
        <f t="shared" si="10"/>
        <v>0</v>
      </c>
      <c r="AU34" s="233">
        <f t="shared" si="6"/>
        <v>39249.799999999996</v>
      </c>
      <c r="AX34" s="791">
        <f t="shared" si="8"/>
        <v>0</v>
      </c>
    </row>
    <row r="35" spans="2:50" ht="14.25" x14ac:dyDescent="0.3">
      <c r="B35" s="813">
        <v>44555</v>
      </c>
      <c r="C35" s="324">
        <v>0.57999999999999996</v>
      </c>
      <c r="D35" s="814">
        <f t="shared" si="7"/>
        <v>37137.14</v>
      </c>
      <c r="E35" s="812"/>
      <c r="F35" s="812"/>
      <c r="G35" s="172"/>
      <c r="H35" s="805">
        <v>663.02</v>
      </c>
      <c r="I35" s="801"/>
      <c r="J35" s="173"/>
      <c r="K35" s="172">
        <v>688.71</v>
      </c>
      <c r="L35" s="172">
        <v>653.76</v>
      </c>
      <c r="M35" s="418"/>
      <c r="N35" s="247">
        <v>1648</v>
      </c>
      <c r="O35" s="174"/>
      <c r="P35" s="174"/>
      <c r="Q35" s="174">
        <v>1628</v>
      </c>
      <c r="R35" s="174">
        <v>1641</v>
      </c>
      <c r="S35" s="448"/>
      <c r="T35" s="455">
        <f t="shared" si="3"/>
        <v>2005.49</v>
      </c>
      <c r="U35" s="185">
        <f t="shared" si="4"/>
        <v>4917</v>
      </c>
      <c r="V35" s="720">
        <f t="shared" si="9"/>
        <v>0.40786861907667277</v>
      </c>
      <c r="W35" s="179"/>
      <c r="X35" s="186"/>
      <c r="Y35" s="166"/>
      <c r="Z35" s="186"/>
      <c r="AA35" s="172">
        <v>35.200000000000003</v>
      </c>
      <c r="AB35" s="221"/>
      <c r="AC35" s="186"/>
      <c r="AD35" s="186"/>
      <c r="AE35" s="186"/>
      <c r="AF35" s="186"/>
      <c r="AG35" s="186"/>
      <c r="AH35" s="186"/>
      <c r="AI35" s="186"/>
      <c r="AJ35" s="311"/>
      <c r="AK35" s="226">
        <f t="shared" si="2"/>
        <v>35.200000000000003</v>
      </c>
      <c r="AL35" s="181"/>
      <c r="AM35" s="181"/>
      <c r="AN35" s="181"/>
      <c r="AO35" s="181"/>
      <c r="AP35" s="181"/>
      <c r="AQ35" s="181"/>
      <c r="AR35" s="181"/>
      <c r="AS35" s="183">
        <f t="shared" si="1"/>
        <v>2040.69</v>
      </c>
      <c r="AT35" s="188">
        <f t="shared" si="10"/>
        <v>0</v>
      </c>
      <c r="AU35" s="233">
        <f t="shared" si="6"/>
        <v>37137.14</v>
      </c>
      <c r="AX35" s="791">
        <f t="shared" si="8"/>
        <v>0</v>
      </c>
    </row>
    <row r="36" spans="2:50" ht="14.25" x14ac:dyDescent="0.3">
      <c r="B36" s="813">
        <v>44556</v>
      </c>
      <c r="C36" s="324">
        <v>0.43</v>
      </c>
      <c r="D36" s="814">
        <f t="shared" si="7"/>
        <v>35096.449999999997</v>
      </c>
      <c r="E36" s="812"/>
      <c r="F36" s="812"/>
      <c r="G36" s="172"/>
      <c r="H36" s="805"/>
      <c r="I36" s="801"/>
      <c r="J36" s="173"/>
      <c r="K36" s="172">
        <v>909</v>
      </c>
      <c r="L36" s="172">
        <v>494.47</v>
      </c>
      <c r="M36" s="418">
        <v>765.69</v>
      </c>
      <c r="N36" s="247"/>
      <c r="O36" s="174"/>
      <c r="P36" s="174"/>
      <c r="Q36" s="174">
        <v>1895</v>
      </c>
      <c r="R36" s="174">
        <v>1254</v>
      </c>
      <c r="S36" s="448">
        <v>1795</v>
      </c>
      <c r="T36" s="455">
        <f t="shared" si="3"/>
        <v>2169.16</v>
      </c>
      <c r="U36" s="185">
        <f t="shared" si="4"/>
        <v>4944</v>
      </c>
      <c r="V36" s="720">
        <f t="shared" si="9"/>
        <v>0.43874595469255662</v>
      </c>
      <c r="W36" s="179">
        <v>80.44</v>
      </c>
      <c r="X36" s="186"/>
      <c r="Y36" s="166"/>
      <c r="Z36" s="186"/>
      <c r="AA36" s="172">
        <v>71.540000000000006</v>
      </c>
      <c r="AB36" s="221"/>
      <c r="AC36" s="186"/>
      <c r="AD36" s="186"/>
      <c r="AE36" s="186"/>
      <c r="AF36" s="186"/>
      <c r="AG36" s="186"/>
      <c r="AH36" s="186"/>
      <c r="AI36" s="186">
        <v>129</v>
      </c>
      <c r="AJ36" s="311"/>
      <c r="AK36" s="226">
        <f t="shared" si="2"/>
        <v>280.98</v>
      </c>
      <c r="AL36" s="181"/>
      <c r="AM36" s="181"/>
      <c r="AN36" s="181"/>
      <c r="AO36" s="181"/>
      <c r="AP36" s="181"/>
      <c r="AQ36" s="181"/>
      <c r="AR36" s="181"/>
      <c r="AS36" s="183">
        <f t="shared" si="1"/>
        <v>2450.14</v>
      </c>
      <c r="AT36" s="188">
        <f t="shared" si="10"/>
        <v>0</v>
      </c>
      <c r="AU36" s="233">
        <f t="shared" si="6"/>
        <v>35096.449999999997</v>
      </c>
      <c r="AX36" s="791">
        <f t="shared" si="8"/>
        <v>0</v>
      </c>
    </row>
    <row r="37" spans="2:50" ht="14.25" x14ac:dyDescent="0.3">
      <c r="B37" s="813">
        <v>44557</v>
      </c>
      <c r="C37" s="324">
        <v>0.39</v>
      </c>
      <c r="D37" s="814">
        <f t="shared" si="7"/>
        <v>32646.309999999998</v>
      </c>
      <c r="E37" s="812"/>
      <c r="F37" s="812"/>
      <c r="G37" s="172"/>
      <c r="H37" s="805">
        <v>734.5</v>
      </c>
      <c r="I37" s="801"/>
      <c r="J37" s="173"/>
      <c r="K37" s="172">
        <v>734.27</v>
      </c>
      <c r="L37" s="172">
        <v>560.02</v>
      </c>
      <c r="M37" s="418"/>
      <c r="N37" s="247">
        <v>1732</v>
      </c>
      <c r="O37" s="174"/>
      <c r="P37" s="174"/>
      <c r="Q37" s="174">
        <v>1851</v>
      </c>
      <c r="R37" s="174">
        <v>1417</v>
      </c>
      <c r="S37" s="174"/>
      <c r="T37" s="455">
        <f t="shared" si="3"/>
        <v>2028.79</v>
      </c>
      <c r="U37" s="185">
        <f t="shared" si="4"/>
        <v>5000</v>
      </c>
      <c r="V37" s="720">
        <f t="shared" si="9"/>
        <v>0.40575800000000001</v>
      </c>
      <c r="W37" s="179"/>
      <c r="X37" s="186">
        <v>47.66</v>
      </c>
      <c r="Y37" s="166"/>
      <c r="Z37" s="186"/>
      <c r="AA37" s="172">
        <v>2</v>
      </c>
      <c r="AB37" s="221"/>
      <c r="AC37" s="186"/>
      <c r="AD37" s="186"/>
      <c r="AE37" s="186"/>
      <c r="AF37" s="186"/>
      <c r="AG37" s="186"/>
      <c r="AH37" s="356"/>
      <c r="AI37" s="186"/>
      <c r="AJ37" s="311"/>
      <c r="AK37" s="226">
        <f t="shared" si="2"/>
        <v>49.66</v>
      </c>
      <c r="AL37" s="181"/>
      <c r="AM37" s="181"/>
      <c r="AN37" s="181"/>
      <c r="AO37" s="181"/>
      <c r="AP37" s="181"/>
      <c r="AQ37" s="181"/>
      <c r="AR37" s="181"/>
      <c r="AS37" s="183">
        <f t="shared" si="1"/>
        <v>2078.4499999999998</v>
      </c>
      <c r="AT37" s="188">
        <f t="shared" si="10"/>
        <v>0</v>
      </c>
      <c r="AU37" s="233">
        <f t="shared" si="6"/>
        <v>32646.309999999998</v>
      </c>
      <c r="AX37" s="791">
        <f t="shared" si="8"/>
        <v>0</v>
      </c>
    </row>
    <row r="38" spans="2:50" ht="14.25" x14ac:dyDescent="0.3">
      <c r="B38" s="813">
        <v>44558</v>
      </c>
      <c r="C38" s="324">
        <v>0.43</v>
      </c>
      <c r="D38" s="814">
        <f t="shared" si="7"/>
        <v>30567.859999999997</v>
      </c>
      <c r="E38" s="812"/>
      <c r="F38" s="812">
        <v>18000</v>
      </c>
      <c r="G38" s="815" t="s">
        <v>165</v>
      </c>
      <c r="H38" s="805"/>
      <c r="I38" s="801"/>
      <c r="J38" s="173"/>
      <c r="K38" s="172">
        <v>705.16</v>
      </c>
      <c r="L38" s="172">
        <v>473.93</v>
      </c>
      <c r="M38" s="418">
        <v>874.5</v>
      </c>
      <c r="N38" s="247"/>
      <c r="O38" s="174"/>
      <c r="P38" s="174"/>
      <c r="Q38" s="174">
        <v>1500</v>
      </c>
      <c r="R38" s="174">
        <v>1197</v>
      </c>
      <c r="S38" s="174">
        <v>1979</v>
      </c>
      <c r="T38" s="455">
        <f t="shared" si="3"/>
        <v>2053.59</v>
      </c>
      <c r="U38" s="185">
        <f t="shared" si="4"/>
        <v>4676</v>
      </c>
      <c r="V38" s="720">
        <f t="shared" si="9"/>
        <v>0.43917664670658685</v>
      </c>
      <c r="W38" s="179"/>
      <c r="X38" s="186">
        <v>36.43</v>
      </c>
      <c r="Y38" s="166">
        <v>33.06</v>
      </c>
      <c r="Z38" s="186"/>
      <c r="AA38" s="172"/>
      <c r="AB38" s="221"/>
      <c r="AC38" s="186"/>
      <c r="AD38" s="186"/>
      <c r="AE38" s="186"/>
      <c r="AF38" s="186"/>
      <c r="AG38" s="186"/>
      <c r="AH38" s="356"/>
      <c r="AI38" s="186">
        <v>117</v>
      </c>
      <c r="AJ38" s="311"/>
      <c r="AK38" s="226">
        <f t="shared" si="2"/>
        <v>186.49</v>
      </c>
      <c r="AL38" s="181"/>
      <c r="AM38" s="181"/>
      <c r="AN38" s="181"/>
      <c r="AO38" s="181"/>
      <c r="AP38" s="181"/>
      <c r="AQ38" s="181"/>
      <c r="AR38" s="181"/>
      <c r="AS38" s="183">
        <f t="shared" si="1"/>
        <v>2240.08</v>
      </c>
      <c r="AT38" s="188">
        <f t="shared" si="10"/>
        <v>0</v>
      </c>
      <c r="AU38" s="233">
        <f t="shared" si="6"/>
        <v>30567.859999999997</v>
      </c>
      <c r="AX38" s="791">
        <f t="shared" si="8"/>
        <v>0</v>
      </c>
    </row>
    <row r="39" spans="2:50" ht="14.25" x14ac:dyDescent="0.3">
      <c r="B39" s="813">
        <v>44559</v>
      </c>
      <c r="C39" s="324">
        <v>0.53</v>
      </c>
      <c r="D39" s="814">
        <f t="shared" si="7"/>
        <v>46327.78</v>
      </c>
      <c r="E39" s="812">
        <v>18000</v>
      </c>
      <c r="F39" s="812"/>
      <c r="G39" s="172"/>
      <c r="H39" s="805">
        <v>762.29</v>
      </c>
      <c r="I39" s="801"/>
      <c r="J39" s="193"/>
      <c r="K39" s="172"/>
      <c r="L39" s="172">
        <v>552.72</v>
      </c>
      <c r="M39" s="418">
        <v>724.94</v>
      </c>
      <c r="N39" s="247">
        <v>1863</v>
      </c>
      <c r="O39" s="174"/>
      <c r="P39" s="194"/>
      <c r="Q39" s="174"/>
      <c r="R39" s="174">
        <v>1415</v>
      </c>
      <c r="S39" s="448">
        <v>1614</v>
      </c>
      <c r="T39" s="455">
        <f t="shared" si="3"/>
        <v>2039.95</v>
      </c>
      <c r="U39" s="185">
        <f t="shared" si="4"/>
        <v>4892</v>
      </c>
      <c r="V39" s="720">
        <f t="shared" si="9"/>
        <v>0.4169971381847915</v>
      </c>
      <c r="W39" s="179"/>
      <c r="X39" s="186"/>
      <c r="Y39" s="166"/>
      <c r="Z39" s="186">
        <v>84.83</v>
      </c>
      <c r="AA39" s="172">
        <v>81.290000000000006</v>
      </c>
      <c r="AB39" s="221"/>
      <c r="AC39" s="186"/>
      <c r="AD39" s="186"/>
      <c r="AE39" s="186"/>
      <c r="AF39" s="186"/>
      <c r="AG39" s="186"/>
      <c r="AH39" s="356"/>
      <c r="AI39" s="186"/>
      <c r="AJ39" s="311">
        <v>70</v>
      </c>
      <c r="AK39" s="226">
        <f t="shared" si="2"/>
        <v>236.12</v>
      </c>
      <c r="AL39" s="181"/>
      <c r="AM39" s="181"/>
      <c r="AN39" s="181"/>
      <c r="AO39" s="181"/>
      <c r="AP39" s="181"/>
      <c r="AQ39" s="181"/>
      <c r="AR39" s="181"/>
      <c r="AS39" s="183">
        <f t="shared" si="1"/>
        <v>2276.0700000000002</v>
      </c>
      <c r="AT39" s="188">
        <f t="shared" si="10"/>
        <v>0</v>
      </c>
      <c r="AU39" s="233">
        <f t="shared" si="6"/>
        <v>46327.78</v>
      </c>
      <c r="AX39" s="791">
        <f t="shared" si="8"/>
        <v>0</v>
      </c>
    </row>
    <row r="40" spans="2:50" ht="14.25" x14ac:dyDescent="0.3">
      <c r="B40" s="813">
        <v>44560</v>
      </c>
      <c r="C40" s="324">
        <v>0.61</v>
      </c>
      <c r="D40" s="814">
        <f t="shared" si="7"/>
        <v>44051.71</v>
      </c>
      <c r="E40" s="812"/>
      <c r="F40" s="812"/>
      <c r="G40" s="172"/>
      <c r="H40" s="805">
        <v>805.54</v>
      </c>
      <c r="I40" s="801"/>
      <c r="J40" s="173"/>
      <c r="K40" s="172">
        <v>748.95</v>
      </c>
      <c r="L40" s="172">
        <v>485.28</v>
      </c>
      <c r="M40" s="418"/>
      <c r="N40" s="247">
        <v>1816</v>
      </c>
      <c r="O40" s="174"/>
      <c r="P40" s="174"/>
      <c r="Q40" s="174">
        <v>1761</v>
      </c>
      <c r="R40" s="174">
        <v>1189</v>
      </c>
      <c r="S40" s="448"/>
      <c r="T40" s="455">
        <f t="shared" si="3"/>
        <v>2039.77</v>
      </c>
      <c r="U40" s="185">
        <f t="shared" si="4"/>
        <v>4766</v>
      </c>
      <c r="V40" s="720">
        <f t="shared" si="9"/>
        <v>0.42798363407469575</v>
      </c>
      <c r="W40" s="179"/>
      <c r="X40" s="186"/>
      <c r="Y40" s="166">
        <v>34.26</v>
      </c>
      <c r="Z40" s="186"/>
      <c r="AA40" s="172"/>
      <c r="AB40" s="221"/>
      <c r="AC40" s="186"/>
      <c r="AD40" s="186"/>
      <c r="AE40" s="186"/>
      <c r="AF40" s="186"/>
      <c r="AG40" s="186"/>
      <c r="AH40" s="356"/>
      <c r="AI40" s="186"/>
      <c r="AJ40" s="311"/>
      <c r="AK40" s="226">
        <f t="shared" si="2"/>
        <v>34.26</v>
      </c>
      <c r="AL40" s="181"/>
      <c r="AM40" s="181"/>
      <c r="AN40" s="181"/>
      <c r="AO40" s="181"/>
      <c r="AP40" s="181"/>
      <c r="AQ40" s="181"/>
      <c r="AR40" s="181"/>
      <c r="AS40" s="183">
        <f t="shared" si="1"/>
        <v>2074.0300000000002</v>
      </c>
      <c r="AT40" s="188">
        <f t="shared" si="10"/>
        <v>0</v>
      </c>
      <c r="AU40" s="233">
        <f t="shared" si="6"/>
        <v>44051.71</v>
      </c>
      <c r="AX40" s="791">
        <f t="shared" si="8"/>
        <v>0</v>
      </c>
    </row>
    <row r="41" spans="2:50" ht="14.25" x14ac:dyDescent="0.3">
      <c r="B41" s="813">
        <v>44561</v>
      </c>
      <c r="C41" s="324">
        <v>0.61</v>
      </c>
      <c r="D41" s="814">
        <f t="shared" si="7"/>
        <v>41977.68</v>
      </c>
      <c r="E41" s="816"/>
      <c r="F41" s="812"/>
      <c r="G41" s="731"/>
      <c r="H41" s="805"/>
      <c r="I41" s="804"/>
      <c r="J41" s="172"/>
      <c r="K41" s="172">
        <v>714.11</v>
      </c>
      <c r="L41" s="172">
        <v>553.88</v>
      </c>
      <c r="M41" s="418">
        <v>626.19000000000005</v>
      </c>
      <c r="N41" s="247"/>
      <c r="O41" s="174"/>
      <c r="P41" s="174"/>
      <c r="Q41" s="174">
        <v>1681</v>
      </c>
      <c r="R41" s="174">
        <v>1403</v>
      </c>
      <c r="S41" s="448">
        <v>1478</v>
      </c>
      <c r="T41" s="455">
        <f t="shared" si="0"/>
        <v>1894.18</v>
      </c>
      <c r="U41" s="185">
        <f t="shared" si="4"/>
        <v>4562</v>
      </c>
      <c r="V41" s="720">
        <f t="shared" si="9"/>
        <v>0.41520824199912321</v>
      </c>
      <c r="W41" s="179">
        <v>78.63</v>
      </c>
      <c r="X41" s="186">
        <v>54.24</v>
      </c>
      <c r="Y41" s="166"/>
      <c r="Z41" s="186"/>
      <c r="AA41" s="172"/>
      <c r="AB41" s="221"/>
      <c r="AC41" s="186"/>
      <c r="AD41" s="186"/>
      <c r="AE41" s="186"/>
      <c r="AF41" s="186"/>
      <c r="AG41" s="186"/>
      <c r="AH41" s="356"/>
      <c r="AI41" s="186">
        <v>750</v>
      </c>
      <c r="AJ41" s="311"/>
      <c r="AK41" s="226">
        <f t="shared" si="2"/>
        <v>882.87</v>
      </c>
      <c r="AL41" s="181"/>
      <c r="AM41" s="181"/>
      <c r="AN41" s="181"/>
      <c r="AO41" s="181"/>
      <c r="AP41" s="181"/>
      <c r="AQ41" s="181"/>
      <c r="AR41" s="181"/>
      <c r="AS41" s="183">
        <f t="shared" si="1"/>
        <v>2777.05</v>
      </c>
      <c r="AT41" s="188">
        <f t="shared" si="10"/>
        <v>0</v>
      </c>
      <c r="AU41" s="233">
        <f t="shared" si="6"/>
        <v>41977.68</v>
      </c>
      <c r="AX41" s="791">
        <f>SUM(AX11:AX40)</f>
        <v>0</v>
      </c>
    </row>
    <row r="42" spans="2:50" ht="14.25" x14ac:dyDescent="0.3">
      <c r="B42" s="813"/>
      <c r="C42" s="817"/>
      <c r="D42" s="814">
        <f t="shared" si="7"/>
        <v>39200.629999999997</v>
      </c>
      <c r="E42" s="812"/>
      <c r="F42" s="812"/>
      <c r="G42" s="172"/>
      <c r="H42" s="173"/>
      <c r="I42" s="172"/>
      <c r="J42" s="172"/>
      <c r="K42" s="172"/>
      <c r="L42" s="172"/>
      <c r="M42" s="418"/>
      <c r="N42" s="247"/>
      <c r="O42" s="174"/>
      <c r="P42" s="174"/>
      <c r="Q42" s="174"/>
      <c r="R42" s="174"/>
      <c r="S42" s="448"/>
      <c r="T42" s="455">
        <f t="shared" si="0"/>
        <v>0</v>
      </c>
      <c r="U42" s="185">
        <f t="shared" si="4"/>
        <v>0</v>
      </c>
      <c r="V42" s="720"/>
      <c r="W42" s="179"/>
      <c r="X42" s="186"/>
      <c r="Y42" s="166"/>
      <c r="Z42" s="186"/>
      <c r="AA42" s="172"/>
      <c r="AB42" s="221"/>
      <c r="AC42" s="186"/>
      <c r="AD42" s="176"/>
      <c r="AE42" s="186"/>
      <c r="AF42" s="186"/>
      <c r="AG42" s="186"/>
      <c r="AH42" s="356"/>
      <c r="AI42" s="186"/>
      <c r="AJ42" s="311"/>
      <c r="AK42" s="226">
        <f t="shared" si="2"/>
        <v>0</v>
      </c>
      <c r="AL42" s="195"/>
      <c r="AM42" s="195"/>
      <c r="AN42" s="195"/>
      <c r="AO42" s="195"/>
      <c r="AP42" s="195"/>
      <c r="AQ42" s="195"/>
      <c r="AR42" s="195"/>
      <c r="AS42" s="183">
        <f t="shared" si="1"/>
        <v>0</v>
      </c>
      <c r="AT42" s="188">
        <f t="shared" si="10"/>
        <v>0</v>
      </c>
      <c r="AU42" s="233">
        <f t="shared" si="6"/>
        <v>39200.629999999997</v>
      </c>
      <c r="AX42" s="791"/>
    </row>
    <row r="43" spans="2:50" ht="14.25" x14ac:dyDescent="0.3">
      <c r="B43" s="818" t="s">
        <v>166</v>
      </c>
      <c r="C43" s="819"/>
      <c r="D43" s="811">
        <f t="shared" si="7"/>
        <v>39200.629999999997</v>
      </c>
      <c r="E43" s="812"/>
      <c r="F43" s="812"/>
      <c r="G43" s="172"/>
      <c r="H43" s="806"/>
      <c r="I43" s="172"/>
      <c r="J43" s="172"/>
      <c r="K43" s="172"/>
      <c r="L43" s="172"/>
      <c r="M43" s="418"/>
      <c r="N43" s="247"/>
      <c r="O43" s="174"/>
      <c r="P43" s="174"/>
      <c r="Q43" s="174"/>
      <c r="R43" s="174"/>
      <c r="S43" s="448"/>
      <c r="T43" s="455">
        <f t="shared" si="0"/>
        <v>0</v>
      </c>
      <c r="U43" s="185">
        <f t="shared" si="4"/>
        <v>0</v>
      </c>
      <c r="V43" s="721"/>
      <c r="W43" s="179"/>
      <c r="X43" s="186"/>
      <c r="Y43" s="172"/>
      <c r="Z43" s="176"/>
      <c r="AA43" s="176"/>
      <c r="AB43" s="221"/>
      <c r="AC43" s="176"/>
      <c r="AD43" s="197"/>
      <c r="AE43" s="197"/>
      <c r="AF43" s="186"/>
      <c r="AG43" s="186"/>
      <c r="AH43" s="356"/>
      <c r="AI43" s="176"/>
      <c r="AJ43" s="311"/>
      <c r="AK43" s="226">
        <f t="shared" si="2"/>
        <v>0</v>
      </c>
      <c r="AL43" s="196"/>
      <c r="AM43" s="196"/>
      <c r="AN43" s="196"/>
      <c r="AO43" s="196"/>
      <c r="AP43" s="196"/>
      <c r="AQ43" s="196"/>
      <c r="AR43" s="196"/>
      <c r="AS43" s="183">
        <f t="shared" si="1"/>
        <v>0</v>
      </c>
      <c r="AT43" s="188">
        <f t="shared" si="10"/>
        <v>0</v>
      </c>
      <c r="AU43" s="233">
        <f t="shared" si="6"/>
        <v>39200.629999999997</v>
      </c>
    </row>
    <row r="44" spans="2:50" ht="14.25" x14ac:dyDescent="0.3">
      <c r="B44" s="820"/>
      <c r="C44" s="820"/>
      <c r="D44" s="821"/>
      <c r="E44" s="812"/>
      <c r="F44" s="812"/>
      <c r="G44" s="172"/>
      <c r="H44" s="807"/>
      <c r="I44" s="445"/>
      <c r="J44" s="445"/>
      <c r="K44" s="445"/>
      <c r="L44" s="445"/>
      <c r="M44" s="446"/>
      <c r="N44" s="246"/>
      <c r="O44" s="164"/>
      <c r="P44" s="164"/>
      <c r="Q44" s="164"/>
      <c r="R44" s="164"/>
      <c r="S44" s="449"/>
      <c r="T44" s="455">
        <f t="shared" si="0"/>
        <v>0</v>
      </c>
      <c r="U44" s="185">
        <f t="shared" si="4"/>
        <v>0</v>
      </c>
      <c r="V44" s="456"/>
      <c r="W44" s="451"/>
      <c r="X44" s="161"/>
      <c r="Y44" s="197"/>
      <c r="Z44" s="197"/>
      <c r="AA44" s="197"/>
      <c r="AB44" s="198"/>
      <c r="AC44" s="197"/>
      <c r="AD44" s="197"/>
      <c r="AE44" s="197"/>
      <c r="AF44" s="197"/>
      <c r="AG44" s="197"/>
      <c r="AH44" s="199"/>
      <c r="AI44" s="161"/>
      <c r="AJ44" s="161"/>
      <c r="AK44" s="433">
        <f t="shared" si="2"/>
        <v>0</v>
      </c>
      <c r="AL44" s="256"/>
      <c r="AM44" s="256"/>
      <c r="AN44" s="256"/>
      <c r="AO44" s="256"/>
      <c r="AP44" s="256"/>
      <c r="AQ44" s="256"/>
      <c r="AR44" s="256"/>
      <c r="AS44" s="257">
        <f>T44+AK44</f>
        <v>0</v>
      </c>
      <c r="AT44" s="258">
        <f t="shared" si="10"/>
        <v>0</v>
      </c>
      <c r="AU44" s="259"/>
    </row>
    <row r="45" spans="2:50" s="201" customFormat="1" ht="12.75" x14ac:dyDescent="0.25">
      <c r="B45" s="820"/>
      <c r="C45" s="820"/>
      <c r="D45" s="822"/>
      <c r="E45" s="823">
        <f>SUM(E11:E44)</f>
        <v>51000</v>
      </c>
      <c r="F45" s="823">
        <f>SUM(F11:F42)</f>
        <v>51000</v>
      </c>
      <c r="G45" s="823">
        <f>SUM(G12:G44)</f>
        <v>0</v>
      </c>
      <c r="H45" s="260">
        <f>SUM(H11:H44)</f>
        <v>12872.240000000002</v>
      </c>
      <c r="I45" s="255">
        <f t="shared" ref="I45:P45" si="11">SUM(I11:I44)</f>
        <v>0</v>
      </c>
      <c r="J45" s="260">
        <f t="shared" si="11"/>
        <v>0</v>
      </c>
      <c r="K45" s="255">
        <f t="shared" si="11"/>
        <v>12507.730000000001</v>
      </c>
      <c r="L45" s="260">
        <f t="shared" si="11"/>
        <v>11119.67</v>
      </c>
      <c r="M45" s="255">
        <f t="shared" si="11"/>
        <v>13308.430000000002</v>
      </c>
      <c r="N45" s="260">
        <f t="shared" si="11"/>
        <v>31435</v>
      </c>
      <c r="O45" s="434">
        <f t="shared" si="11"/>
        <v>0</v>
      </c>
      <c r="P45" s="260">
        <f t="shared" si="11"/>
        <v>0</v>
      </c>
      <c r="Q45" s="255">
        <f>SUM(Q11:Q43)</f>
        <v>29460</v>
      </c>
      <c r="R45" s="260">
        <f>SUM(R11:R44)</f>
        <v>27243</v>
      </c>
      <c r="S45" s="255">
        <f>SUM(S11:S44)</f>
        <v>33223</v>
      </c>
      <c r="T45" s="439">
        <f>SUM(H45:M45)</f>
        <v>49808.07</v>
      </c>
      <c r="U45" s="255">
        <f>SUM(N45:S45)</f>
        <v>121361</v>
      </c>
      <c r="V45" s="895">
        <f>SUM(V11:V42)</f>
        <v>12.686723500877715</v>
      </c>
      <c r="W45" s="434">
        <f t="shared" ref="W45:AC45" si="12">SUM(W9:W44)</f>
        <v>308.03999999999996</v>
      </c>
      <c r="X45" s="200">
        <f t="shared" si="12"/>
        <v>278.61</v>
      </c>
      <c r="Y45" s="434">
        <f t="shared" si="12"/>
        <v>449.3</v>
      </c>
      <c r="Z45" s="200">
        <f t="shared" si="12"/>
        <v>208.67000000000002</v>
      </c>
      <c r="AA45" s="434">
        <f t="shared" si="12"/>
        <v>897.16</v>
      </c>
      <c r="AB45" s="200">
        <f t="shared" si="12"/>
        <v>125.72999999999999</v>
      </c>
      <c r="AC45" s="434">
        <f t="shared" si="12"/>
        <v>0</v>
      </c>
      <c r="AD45" s="200">
        <f>SUM(AD10:AD44)</f>
        <v>91.38</v>
      </c>
      <c r="AE45" s="434">
        <f>SUM(AE10:AE44)</f>
        <v>225.16</v>
      </c>
      <c r="AF45" s="200">
        <f>SUM(AF9:AF44)</f>
        <v>264.81</v>
      </c>
      <c r="AG45" s="434">
        <f>SUM(AG9:AG44)</f>
        <v>0</v>
      </c>
      <c r="AH45" s="200">
        <f>SUM(AH9:AH44)</f>
        <v>0</v>
      </c>
      <c r="AI45" s="434">
        <f>SUM(AI9:AI43)</f>
        <v>2064</v>
      </c>
      <c r="AJ45" s="200">
        <f>SUM(AJ9:AJ39)</f>
        <v>298</v>
      </c>
      <c r="AK45" s="434">
        <f>SUM(AK9:AK44)</f>
        <v>5210.8599999999997</v>
      </c>
      <c r="AL45" s="200"/>
      <c r="AM45" s="200"/>
      <c r="AN45" s="200"/>
      <c r="AO45" s="200"/>
      <c r="AP45" s="200"/>
      <c r="AQ45" s="200"/>
      <c r="AR45" s="435"/>
      <c r="AS45" s="436">
        <f>SUM(AS11:AS43)</f>
        <v>55018.930000000015</v>
      </c>
      <c r="AT45" s="437">
        <f>SUM(AT11:AT44)</f>
        <v>0</v>
      </c>
      <c r="AU45" s="438"/>
    </row>
    <row r="46" spans="2:50" ht="14.25" thickBot="1" x14ac:dyDescent="0.35">
      <c r="B46" s="158" t="s">
        <v>167</v>
      </c>
      <c r="N46" s="157">
        <f>H45/N45</f>
        <v>0.40948751391760779</v>
      </c>
      <c r="O46" s="157"/>
      <c r="P46" s="157"/>
      <c r="Q46" s="157">
        <f>K45/Q45</f>
        <v>0.42456653088934154</v>
      </c>
      <c r="R46" s="157">
        <f>L45/R45</f>
        <v>0.408166134419851</v>
      </c>
      <c r="S46" s="157">
        <f>M45/S45</f>
        <v>0.40057881588056471</v>
      </c>
      <c r="T46" s="479"/>
      <c r="V46" s="866">
        <f>T45/U45</f>
        <v>0.41041248836117039</v>
      </c>
      <c r="X46" s="162"/>
      <c r="Y46" s="162"/>
      <c r="Z46" s="162"/>
      <c r="AA46" s="162"/>
      <c r="AB46" s="162"/>
      <c r="AS46" s="157"/>
      <c r="AT46" s="202"/>
      <c r="AU46" s="156"/>
    </row>
    <row r="47" spans="2:50" ht="13.5" x14ac:dyDescent="0.25">
      <c r="B47" s="268"/>
      <c r="C47" s="757">
        <f>AVERAGE(C11:C40)</f>
        <v>0.20092333333333331</v>
      </c>
      <c r="G47" s="160"/>
      <c r="S47" s="157"/>
      <c r="T47" s="646"/>
      <c r="U47" s="261">
        <f>T45*2475</f>
        <v>123274973.25</v>
      </c>
      <c r="V47" s="262" t="s">
        <v>168</v>
      </c>
      <c r="AS47" s="415">
        <f>AS45*2143</f>
        <v>117905566.99000002</v>
      </c>
      <c r="AT47" s="414" t="s">
        <v>168</v>
      </c>
      <c r="AU47" s="156"/>
    </row>
    <row r="48" spans="2:50" ht="13.5" x14ac:dyDescent="0.3">
      <c r="B48" s="269" t="s">
        <v>169</v>
      </c>
      <c r="C48" s="203"/>
      <c r="G48" s="158" t="s">
        <v>30</v>
      </c>
      <c r="U48" s="261">
        <f>U47/2289</f>
        <v>53855.383682830929</v>
      </c>
      <c r="V48" s="262" t="s">
        <v>170</v>
      </c>
      <c r="X48" s="162"/>
      <c r="Y48" s="162"/>
      <c r="Z48" s="162"/>
      <c r="AA48" s="162"/>
      <c r="AB48" s="162"/>
      <c r="AS48" s="261">
        <f>AS47/2289</f>
        <v>51509.640449978164</v>
      </c>
      <c r="AT48" s="416" t="s">
        <v>170</v>
      </c>
      <c r="AU48" s="202"/>
    </row>
    <row r="49" spans="3:47" ht="13.5" x14ac:dyDescent="0.3">
      <c r="V49" s="204"/>
      <c r="X49" s="162"/>
      <c r="Y49" s="162"/>
      <c r="Z49" s="162"/>
      <c r="AA49" s="162"/>
      <c r="AB49" s="162"/>
      <c r="AS49" s="204"/>
      <c r="AU49" s="202"/>
    </row>
    <row r="50" spans="3:47" ht="13.5" customHeight="1" x14ac:dyDescent="0.2">
      <c r="C50" s="967" t="s">
        <v>171</v>
      </c>
      <c r="D50" s="968"/>
      <c r="E50" s="968"/>
      <c r="F50" s="968"/>
      <c r="G50" s="969"/>
      <c r="I50" s="945" t="s">
        <v>172</v>
      </c>
      <c r="J50" s="946"/>
      <c r="K50" s="946"/>
      <c r="L50" s="946"/>
      <c r="M50" s="947"/>
      <c r="O50" s="948" t="s">
        <v>173</v>
      </c>
      <c r="P50" s="949"/>
      <c r="Q50" s="949"/>
      <c r="R50" s="949"/>
      <c r="S50" s="950"/>
      <c r="U50" s="951" t="s">
        <v>174</v>
      </c>
      <c r="V50" s="952"/>
      <c r="W50" s="952"/>
      <c r="X50" s="952"/>
      <c r="Y50" s="952"/>
      <c r="Z50" s="953"/>
    </row>
    <row r="51" spans="3:47" ht="25.5" customHeight="1" x14ac:dyDescent="0.2">
      <c r="C51" s="394" t="s">
        <v>63</v>
      </c>
      <c r="D51" s="340" t="s">
        <v>175</v>
      </c>
      <c r="E51" s="395" t="s">
        <v>176</v>
      </c>
      <c r="F51" s="395" t="s">
        <v>177</v>
      </c>
      <c r="G51" s="396" t="s">
        <v>178</v>
      </c>
      <c r="I51" s="394" t="s">
        <v>63</v>
      </c>
      <c r="J51" s="340" t="s">
        <v>175</v>
      </c>
      <c r="K51" s="432" t="s">
        <v>176</v>
      </c>
      <c r="L51" s="398" t="s">
        <v>177</v>
      </c>
      <c r="M51" s="396" t="s">
        <v>178</v>
      </c>
      <c r="O51" s="430" t="s">
        <v>63</v>
      </c>
      <c r="P51" s="424" t="s">
        <v>175</v>
      </c>
      <c r="Q51" s="431" t="s">
        <v>176</v>
      </c>
      <c r="R51" s="425" t="s">
        <v>177</v>
      </c>
      <c r="S51" s="426" t="s">
        <v>179</v>
      </c>
      <c r="U51" s="284" t="s">
        <v>31</v>
      </c>
      <c r="V51" s="490" t="s">
        <v>175</v>
      </c>
      <c r="W51" s="492" t="s">
        <v>180</v>
      </c>
      <c r="X51" s="491" t="s">
        <v>177</v>
      </c>
      <c r="Y51" s="285" t="s">
        <v>181</v>
      </c>
      <c r="Z51" s="286" t="s">
        <v>182</v>
      </c>
    </row>
    <row r="52" spans="3:47" ht="11.25" customHeight="1" x14ac:dyDescent="0.2">
      <c r="C52" s="391">
        <v>44389</v>
      </c>
      <c r="D52" s="683" t="s">
        <v>183</v>
      </c>
      <c r="E52" s="723">
        <v>89</v>
      </c>
      <c r="F52" s="169" t="s">
        <v>184</v>
      </c>
      <c r="G52" s="684" t="s">
        <v>185</v>
      </c>
      <c r="I52" s="422"/>
      <c r="J52" s="399"/>
      <c r="K52" s="399"/>
      <c r="L52" s="399"/>
      <c r="M52" s="423"/>
      <c r="O52" s="287">
        <v>44481</v>
      </c>
      <c r="P52" s="399" t="s">
        <v>186</v>
      </c>
      <c r="Q52" s="417">
        <v>107</v>
      </c>
      <c r="R52" s="417" t="s">
        <v>187</v>
      </c>
      <c r="S52" s="403" t="s">
        <v>185</v>
      </c>
      <c r="U52" s="287"/>
      <c r="V52" s="417"/>
      <c r="W52" s="169"/>
      <c r="X52" s="417"/>
      <c r="Y52" s="417"/>
      <c r="Z52" s="403"/>
    </row>
    <row r="53" spans="3:47" ht="11.25" customHeight="1" x14ac:dyDescent="0.2">
      <c r="C53" s="391">
        <v>44481</v>
      </c>
      <c r="D53" s="683" t="s">
        <v>188</v>
      </c>
      <c r="E53" s="723">
        <v>147</v>
      </c>
      <c r="F53" s="169" t="s">
        <v>189</v>
      </c>
      <c r="G53" s="684" t="s">
        <v>185</v>
      </c>
      <c r="I53" s="647"/>
      <c r="J53" s="648"/>
      <c r="K53" s="648"/>
      <c r="L53" s="648"/>
      <c r="M53" s="419"/>
      <c r="O53" s="391" t="s">
        <v>190</v>
      </c>
      <c r="P53" s="648" t="s">
        <v>191</v>
      </c>
      <c r="Q53" s="169">
        <v>70</v>
      </c>
      <c r="R53" s="169" t="s">
        <v>192</v>
      </c>
      <c r="S53" s="403" t="s">
        <v>185</v>
      </c>
      <c r="U53" s="391"/>
      <c r="V53" s="169"/>
      <c r="W53" s="488"/>
      <c r="X53" s="392"/>
      <c r="Y53" s="392"/>
      <c r="Z53" s="649"/>
    </row>
    <row r="54" spans="3:47" ht="11.25" customHeight="1" x14ac:dyDescent="0.2">
      <c r="C54" s="391">
        <v>44481</v>
      </c>
      <c r="D54" s="391" t="s">
        <v>193</v>
      </c>
      <c r="E54" s="393">
        <v>132</v>
      </c>
      <c r="F54" s="392" t="s">
        <v>194</v>
      </c>
      <c r="G54" s="419" t="s">
        <v>185</v>
      </c>
      <c r="I54" s="408"/>
      <c r="J54" s="221"/>
      <c r="K54" s="221"/>
      <c r="L54" s="221"/>
      <c r="M54" s="419"/>
      <c r="O54" s="280" t="s">
        <v>195</v>
      </c>
      <c r="P54" s="221" t="s">
        <v>196</v>
      </c>
      <c r="Q54" s="311">
        <v>51</v>
      </c>
      <c r="R54" s="311" t="s">
        <v>197</v>
      </c>
      <c r="S54" s="404" t="s">
        <v>185</v>
      </c>
      <c r="U54" s="280"/>
      <c r="V54" s="311"/>
      <c r="W54" s="489"/>
      <c r="X54" s="250"/>
      <c r="Y54" s="250"/>
      <c r="Z54" s="404"/>
    </row>
    <row r="55" spans="3:47" ht="11.25" customHeight="1" x14ac:dyDescent="0.2">
      <c r="C55" s="280" t="s">
        <v>198</v>
      </c>
      <c r="D55" s="250" t="s">
        <v>183</v>
      </c>
      <c r="E55" s="307">
        <v>138</v>
      </c>
      <c r="F55" s="250" t="s">
        <v>184</v>
      </c>
      <c r="G55" s="419" t="s">
        <v>185</v>
      </c>
      <c r="I55" s="408"/>
      <c r="J55" s="221"/>
      <c r="K55" s="221"/>
      <c r="L55" s="221"/>
      <c r="M55" s="420"/>
      <c r="O55" s="280" t="s">
        <v>199</v>
      </c>
      <c r="P55" s="221" t="s">
        <v>186</v>
      </c>
      <c r="Q55" s="311">
        <v>70</v>
      </c>
      <c r="R55" s="311" t="s">
        <v>187</v>
      </c>
      <c r="S55" s="404" t="s">
        <v>185</v>
      </c>
      <c r="U55" s="280"/>
      <c r="V55" s="311"/>
      <c r="W55" s="489"/>
      <c r="X55" s="250"/>
      <c r="Y55" s="250"/>
      <c r="Z55" s="404"/>
    </row>
    <row r="56" spans="3:47" ht="11.25" customHeight="1" x14ac:dyDescent="0.2">
      <c r="C56" s="280" t="s">
        <v>200</v>
      </c>
      <c r="D56" s="250" t="s">
        <v>201</v>
      </c>
      <c r="E56" s="307">
        <v>54</v>
      </c>
      <c r="F56" s="250" t="s">
        <v>202</v>
      </c>
      <c r="G56" s="419" t="s">
        <v>185</v>
      </c>
      <c r="I56" s="400"/>
      <c r="J56" s="221"/>
      <c r="K56" s="221"/>
      <c r="L56" s="221"/>
      <c r="M56" s="420"/>
      <c r="O56" s="280"/>
      <c r="P56" s="221"/>
      <c r="Q56" s="311"/>
      <c r="R56" s="311"/>
      <c r="S56" s="404"/>
      <c r="U56" s="280"/>
      <c r="V56" s="311"/>
      <c r="W56" s="489"/>
      <c r="X56" s="250"/>
      <c r="Y56" s="250"/>
      <c r="Z56" s="404"/>
      <c r="AE56" s="908"/>
    </row>
    <row r="57" spans="3:47" ht="11.25" customHeight="1" x14ac:dyDescent="0.2">
      <c r="C57" s="280" t="s">
        <v>195</v>
      </c>
      <c r="D57" s="250" t="s">
        <v>193</v>
      </c>
      <c r="E57" s="307">
        <v>96</v>
      </c>
      <c r="F57" s="250" t="s">
        <v>194</v>
      </c>
      <c r="G57" s="419" t="s">
        <v>185</v>
      </c>
      <c r="I57" s="400"/>
      <c r="J57" s="221"/>
      <c r="K57" s="221"/>
      <c r="L57" s="221"/>
      <c r="M57" s="420"/>
      <c r="O57" s="280"/>
      <c r="P57" s="221"/>
      <c r="Q57" s="311"/>
      <c r="R57" s="311"/>
      <c r="S57" s="404"/>
      <c r="U57" s="280"/>
      <c r="V57" s="311"/>
      <c r="W57" s="489"/>
      <c r="X57" s="250"/>
      <c r="Y57" s="250"/>
      <c r="Z57" s="404"/>
    </row>
    <row r="58" spans="3:47" ht="11.25" customHeight="1" x14ac:dyDescent="0.2">
      <c r="C58" s="280" t="s">
        <v>195</v>
      </c>
      <c r="D58" s="250" t="s">
        <v>203</v>
      </c>
      <c r="E58" s="307">
        <v>130</v>
      </c>
      <c r="F58" s="250" t="s">
        <v>204</v>
      </c>
      <c r="G58" s="419" t="s">
        <v>185</v>
      </c>
      <c r="I58" s="400"/>
      <c r="J58" s="221"/>
      <c r="K58" s="221"/>
      <c r="L58" s="221"/>
      <c r="M58" s="420"/>
      <c r="O58" s="280"/>
      <c r="P58" s="221"/>
      <c r="Q58" s="311"/>
      <c r="R58" s="311"/>
      <c r="S58" s="404"/>
      <c r="U58" s="280"/>
      <c r="V58" s="311"/>
      <c r="W58" s="489"/>
      <c r="X58" s="250"/>
      <c r="Y58" s="250"/>
      <c r="Z58" s="404"/>
    </row>
    <row r="59" spans="3:47" ht="11.25" customHeight="1" x14ac:dyDescent="0.2">
      <c r="C59" s="280" t="s">
        <v>205</v>
      </c>
      <c r="D59" s="250" t="s">
        <v>203</v>
      </c>
      <c r="E59" s="307">
        <v>29</v>
      </c>
      <c r="F59" s="250" t="s">
        <v>206</v>
      </c>
      <c r="G59" s="419" t="s">
        <v>185</v>
      </c>
      <c r="I59" s="400"/>
      <c r="J59" s="221"/>
      <c r="K59" s="221"/>
      <c r="L59" s="221"/>
      <c r="M59" s="420"/>
      <c r="O59" s="280"/>
      <c r="P59" s="221"/>
      <c r="Q59" s="311"/>
      <c r="R59" s="311"/>
      <c r="S59" s="404"/>
      <c r="U59" s="280"/>
      <c r="V59" s="311"/>
      <c r="W59" s="489"/>
      <c r="X59" s="250"/>
      <c r="Y59" s="250"/>
      <c r="Z59" s="404"/>
    </row>
    <row r="60" spans="3:47" ht="11.25" customHeight="1" x14ac:dyDescent="0.2">
      <c r="C60" s="280" t="s">
        <v>205</v>
      </c>
      <c r="D60" s="391" t="s">
        <v>207</v>
      </c>
      <c r="E60" s="307">
        <v>62</v>
      </c>
      <c r="F60" s="250" t="s">
        <v>208</v>
      </c>
      <c r="G60" s="419" t="s">
        <v>185</v>
      </c>
      <c r="I60" s="400"/>
      <c r="J60" s="221"/>
      <c r="K60" s="221"/>
      <c r="L60" s="221"/>
      <c r="M60" s="420"/>
      <c r="O60" s="280"/>
      <c r="P60" s="221"/>
      <c r="Q60" s="311"/>
      <c r="R60" s="311"/>
      <c r="S60" s="404"/>
      <c r="U60" s="280"/>
      <c r="V60" s="311"/>
      <c r="W60" s="489"/>
      <c r="X60" s="250"/>
      <c r="Y60" s="250"/>
      <c r="Z60" s="404"/>
    </row>
    <row r="61" spans="3:47" ht="11.25" customHeight="1" x14ac:dyDescent="0.2">
      <c r="C61" s="280" t="s">
        <v>209</v>
      </c>
      <c r="D61" s="250" t="s">
        <v>210</v>
      </c>
      <c r="E61" s="307">
        <v>81</v>
      </c>
      <c r="F61" s="250" t="s">
        <v>211</v>
      </c>
      <c r="G61" s="419" t="s">
        <v>185</v>
      </c>
      <c r="I61" s="400"/>
      <c r="J61" s="221"/>
      <c r="K61" s="221"/>
      <c r="L61" s="221"/>
      <c r="M61" s="420"/>
      <c r="O61" s="406"/>
      <c r="P61" s="221"/>
      <c r="Q61" s="311"/>
      <c r="R61" s="311"/>
      <c r="S61" s="404"/>
      <c r="U61" s="280"/>
      <c r="V61" s="311"/>
      <c r="W61" s="489"/>
      <c r="X61" s="250"/>
      <c r="Y61" s="250"/>
      <c r="Z61" s="404"/>
    </row>
    <row r="62" spans="3:47" ht="11.25" customHeight="1" x14ac:dyDescent="0.2">
      <c r="C62" s="280" t="s">
        <v>212</v>
      </c>
      <c r="D62" s="250" t="s">
        <v>188</v>
      </c>
      <c r="E62" s="307">
        <v>110</v>
      </c>
      <c r="F62" s="250" t="s">
        <v>189</v>
      </c>
      <c r="G62" s="419" t="s">
        <v>185</v>
      </c>
      <c r="I62" s="400"/>
      <c r="J62" s="221"/>
      <c r="K62" s="221"/>
      <c r="L62" s="221"/>
      <c r="M62" s="420"/>
      <c r="O62" s="406"/>
      <c r="P62" s="221"/>
      <c r="Q62" s="311"/>
      <c r="R62" s="311"/>
      <c r="S62" s="404"/>
      <c r="U62" s="280"/>
      <c r="V62" s="311"/>
      <c r="W62" s="489"/>
      <c r="X62" s="250"/>
      <c r="Y62" s="250"/>
      <c r="Z62" s="404"/>
    </row>
    <row r="63" spans="3:47" ht="11.25" customHeight="1" x14ac:dyDescent="0.2">
      <c r="C63" s="280" t="s">
        <v>213</v>
      </c>
      <c r="D63" s="250" t="s">
        <v>210</v>
      </c>
      <c r="E63" s="307">
        <v>129</v>
      </c>
      <c r="F63" s="250" t="s">
        <v>211</v>
      </c>
      <c r="G63" s="420" t="s">
        <v>185</v>
      </c>
      <c r="I63" s="400"/>
      <c r="J63" s="221"/>
      <c r="K63" s="221"/>
      <c r="L63" s="221"/>
      <c r="M63" s="420"/>
      <c r="O63" s="406"/>
      <c r="P63" s="221"/>
      <c r="Q63" s="311"/>
      <c r="R63" s="311"/>
      <c r="S63" s="404"/>
      <c r="U63" s="280"/>
      <c r="V63" s="311"/>
      <c r="W63" s="489"/>
      <c r="X63" s="250"/>
      <c r="Y63" s="250"/>
      <c r="Z63" s="404"/>
    </row>
    <row r="64" spans="3:47" ht="11.25" customHeight="1" x14ac:dyDescent="0.2">
      <c r="C64" s="280" t="s">
        <v>214</v>
      </c>
      <c r="D64" s="250" t="s">
        <v>183</v>
      </c>
      <c r="E64" s="307">
        <v>117</v>
      </c>
      <c r="F64" s="250" t="s">
        <v>215</v>
      </c>
      <c r="G64" s="420" t="s">
        <v>185</v>
      </c>
      <c r="I64" s="400"/>
      <c r="J64" s="221"/>
      <c r="K64" s="221"/>
      <c r="L64" s="221"/>
      <c r="M64" s="420"/>
      <c r="O64" s="406"/>
      <c r="P64" s="221"/>
      <c r="Q64" s="311"/>
      <c r="R64" s="311"/>
      <c r="S64" s="404"/>
      <c r="U64" s="280"/>
      <c r="V64" s="311"/>
      <c r="W64" s="489"/>
      <c r="X64" s="250"/>
      <c r="Y64" s="250"/>
      <c r="Z64" s="404"/>
    </row>
    <row r="65" spans="3:26" ht="11.25" customHeight="1" x14ac:dyDescent="0.2">
      <c r="C65" s="280" t="s">
        <v>216</v>
      </c>
      <c r="D65" s="250" t="s">
        <v>183</v>
      </c>
      <c r="E65" s="307">
        <v>86</v>
      </c>
      <c r="F65" s="250" t="s">
        <v>215</v>
      </c>
      <c r="G65" s="419" t="s">
        <v>185</v>
      </c>
      <c r="I65" s="400"/>
      <c r="J65" s="221"/>
      <c r="K65" s="221"/>
      <c r="L65" s="221"/>
      <c r="M65" s="420"/>
      <c r="O65" s="406"/>
      <c r="P65" s="221"/>
      <c r="Q65" s="311"/>
      <c r="R65" s="311"/>
      <c r="S65" s="404"/>
      <c r="U65" s="280"/>
      <c r="V65" s="311"/>
      <c r="W65" s="489"/>
      <c r="X65" s="250"/>
      <c r="Y65" s="250"/>
      <c r="Z65" s="404"/>
    </row>
    <row r="66" spans="3:26" ht="11.25" customHeight="1" x14ac:dyDescent="0.2">
      <c r="C66" s="280" t="s">
        <v>216</v>
      </c>
      <c r="D66" s="250" t="s">
        <v>207</v>
      </c>
      <c r="E66" s="307">
        <v>96</v>
      </c>
      <c r="F66" s="250" t="s">
        <v>202</v>
      </c>
      <c r="G66" s="419" t="s">
        <v>185</v>
      </c>
      <c r="I66" s="400"/>
      <c r="J66" s="221"/>
      <c r="K66" s="221"/>
      <c r="L66" s="221"/>
      <c r="M66" s="420"/>
      <c r="O66" s="406"/>
      <c r="P66" s="221"/>
      <c r="Q66" s="311"/>
      <c r="R66" s="311"/>
      <c r="S66" s="404"/>
      <c r="U66" s="280"/>
      <c r="V66" s="311"/>
      <c r="W66" s="489"/>
      <c r="X66" s="250"/>
      <c r="Y66" s="250"/>
      <c r="Z66" s="404"/>
    </row>
    <row r="67" spans="3:26" ht="11.25" customHeight="1" x14ac:dyDescent="0.2">
      <c r="C67" s="280" t="s">
        <v>216</v>
      </c>
      <c r="D67" s="250" t="s">
        <v>203</v>
      </c>
      <c r="E67" s="307">
        <v>119</v>
      </c>
      <c r="F67" s="250" t="s">
        <v>217</v>
      </c>
      <c r="G67" s="419" t="s">
        <v>218</v>
      </c>
      <c r="I67" s="400"/>
      <c r="J67" s="221"/>
      <c r="K67" s="221"/>
      <c r="L67" s="221"/>
      <c r="M67" s="420"/>
      <c r="O67" s="406"/>
      <c r="P67" s="221"/>
      <c r="Q67" s="221"/>
      <c r="R67" s="427"/>
      <c r="S67" s="404"/>
      <c r="U67" s="280"/>
      <c r="V67" s="311"/>
      <c r="W67" s="489"/>
      <c r="X67" s="250"/>
      <c r="Y67" s="250"/>
      <c r="Z67" s="404"/>
    </row>
    <row r="68" spans="3:26" ht="11.25" customHeight="1" x14ac:dyDescent="0.2">
      <c r="C68" s="280" t="s">
        <v>216</v>
      </c>
      <c r="D68" s="898" t="s">
        <v>219</v>
      </c>
      <c r="E68" s="897">
        <v>34</v>
      </c>
      <c r="F68" s="898" t="s">
        <v>220</v>
      </c>
      <c r="G68" s="899" t="s">
        <v>218</v>
      </c>
      <c r="I68" s="900"/>
      <c r="J68" s="896"/>
      <c r="K68" s="896"/>
      <c r="L68" s="896"/>
      <c r="M68" s="901"/>
      <c r="O68" s="902"/>
      <c r="P68" s="896"/>
      <c r="Q68" s="896"/>
      <c r="R68" s="903"/>
      <c r="S68" s="904"/>
      <c r="U68" s="280"/>
      <c r="V68" s="311"/>
      <c r="W68" s="489"/>
      <c r="X68" s="250"/>
      <c r="Y68" s="250"/>
      <c r="Z68" s="404"/>
    </row>
    <row r="69" spans="3:26" ht="11.25" customHeight="1" x14ac:dyDescent="0.2">
      <c r="C69" s="280" t="s">
        <v>216</v>
      </c>
      <c r="D69" s="280" t="s">
        <v>221</v>
      </c>
      <c r="E69" s="897">
        <v>83</v>
      </c>
      <c r="F69" s="280" t="s">
        <v>211</v>
      </c>
      <c r="G69" s="280" t="s">
        <v>185</v>
      </c>
      <c r="H69" s="280"/>
      <c r="I69" s="280"/>
      <c r="J69" s="280"/>
      <c r="K69" s="280"/>
      <c r="L69" s="280"/>
      <c r="M69" s="280"/>
      <c r="N69" s="280"/>
      <c r="O69" s="280"/>
      <c r="P69" s="280"/>
      <c r="Q69" s="280"/>
      <c r="R69" s="280"/>
      <c r="S69" s="280"/>
      <c r="U69" s="280"/>
      <c r="V69" s="311"/>
      <c r="W69" s="489"/>
      <c r="X69" s="250"/>
      <c r="Y69" s="250"/>
      <c r="Z69" s="404"/>
    </row>
    <row r="70" spans="3:26" ht="11.25" customHeight="1" x14ac:dyDescent="0.2">
      <c r="C70" s="280" t="s">
        <v>216</v>
      </c>
      <c r="D70" s="280" t="s">
        <v>193</v>
      </c>
      <c r="E70" s="897">
        <v>32</v>
      </c>
      <c r="F70" s="280" t="s">
        <v>222</v>
      </c>
      <c r="G70" s="280" t="s">
        <v>185</v>
      </c>
      <c r="H70" s="280"/>
      <c r="I70" s="280"/>
      <c r="J70" s="280"/>
      <c r="K70" s="280"/>
      <c r="L70" s="280"/>
      <c r="M70" s="280"/>
      <c r="N70" s="280"/>
      <c r="O70" s="280"/>
      <c r="P70" s="280"/>
      <c r="Q70" s="280"/>
      <c r="R70" s="280"/>
      <c r="S70" s="280"/>
      <c r="U70" s="280"/>
      <c r="V70" s="311"/>
      <c r="W70" s="489"/>
      <c r="X70" s="250"/>
      <c r="Y70" s="250"/>
      <c r="Z70" s="404"/>
    </row>
    <row r="71" spans="3:26" ht="11.25" customHeight="1" x14ac:dyDescent="0.2">
      <c r="C71" s="280" t="s">
        <v>216</v>
      </c>
      <c r="D71" s="280" t="s">
        <v>201</v>
      </c>
      <c r="E71" s="897">
        <v>131</v>
      </c>
      <c r="F71" s="280" t="s">
        <v>202</v>
      </c>
      <c r="G71" s="280" t="s">
        <v>185</v>
      </c>
      <c r="H71" s="280"/>
      <c r="I71" s="280"/>
      <c r="J71" s="280"/>
      <c r="K71" s="280"/>
      <c r="L71" s="280"/>
      <c r="M71" s="280"/>
      <c r="N71" s="280"/>
      <c r="O71" s="280"/>
      <c r="P71" s="280"/>
      <c r="Q71" s="280"/>
      <c r="R71" s="280"/>
      <c r="S71" s="280"/>
      <c r="U71" s="280"/>
      <c r="V71" s="311"/>
      <c r="W71" s="489"/>
      <c r="X71" s="250"/>
      <c r="Y71" s="250"/>
      <c r="Z71" s="404"/>
    </row>
    <row r="72" spans="3:26" ht="11.25" customHeight="1" x14ac:dyDescent="0.2">
      <c r="C72" s="280" t="s">
        <v>223</v>
      </c>
      <c r="D72" s="280" t="s">
        <v>188</v>
      </c>
      <c r="E72" s="897">
        <v>107</v>
      </c>
      <c r="F72" s="280" t="s">
        <v>189</v>
      </c>
      <c r="G72" s="280" t="s">
        <v>185</v>
      </c>
      <c r="H72" s="280"/>
      <c r="I72" s="280"/>
      <c r="J72" s="280"/>
      <c r="K72" s="280"/>
      <c r="L72" s="280"/>
      <c r="M72" s="280"/>
      <c r="N72" s="280"/>
      <c r="O72" s="280"/>
      <c r="P72" s="280"/>
      <c r="Q72" s="280"/>
      <c r="R72" s="280"/>
      <c r="S72" s="280"/>
      <c r="U72" s="280"/>
      <c r="V72" s="311"/>
      <c r="W72" s="489"/>
      <c r="X72" s="250"/>
      <c r="Y72" s="250"/>
      <c r="Z72" s="404"/>
    </row>
    <row r="73" spans="3:26" ht="11.25" customHeight="1" x14ac:dyDescent="0.2">
      <c r="C73" s="280" t="s">
        <v>216</v>
      </c>
      <c r="D73" s="250" t="s">
        <v>210</v>
      </c>
      <c r="E73" s="897">
        <v>62</v>
      </c>
      <c r="F73" s="250" t="s">
        <v>211</v>
      </c>
      <c r="G73" s="420" t="s">
        <v>185</v>
      </c>
      <c r="I73" s="401"/>
      <c r="J73" s="223"/>
      <c r="K73" s="223"/>
      <c r="L73" s="223"/>
      <c r="M73" s="420"/>
      <c r="O73" s="406"/>
      <c r="P73" s="221"/>
      <c r="Q73" s="221"/>
      <c r="R73" s="428"/>
      <c r="S73" s="404"/>
      <c r="U73" s="280"/>
      <c r="V73" s="311"/>
      <c r="W73" s="489"/>
      <c r="X73" s="250"/>
      <c r="Y73" s="250"/>
      <c r="Z73" s="404"/>
    </row>
    <row r="74" spans="3:26" ht="11.25" customHeight="1" x14ac:dyDescent="0.2">
      <c r="C74" s="280"/>
      <c r="D74" s="250"/>
      <c r="E74" s="897"/>
      <c r="F74" s="250"/>
      <c r="G74" s="420"/>
      <c r="I74" s="400"/>
      <c r="J74" s="221"/>
      <c r="K74" s="221"/>
      <c r="L74" s="221"/>
      <c r="M74" s="420"/>
      <c r="O74" s="406"/>
      <c r="P74" s="221"/>
      <c r="Q74" s="221"/>
      <c r="R74" s="311"/>
      <c r="S74" s="404"/>
      <c r="U74" s="280"/>
      <c r="V74" s="311"/>
      <c r="W74" s="489"/>
      <c r="X74" s="250"/>
      <c r="Y74" s="250"/>
      <c r="Z74" s="404"/>
    </row>
    <row r="75" spans="3:26" ht="11.25" customHeight="1" x14ac:dyDescent="0.2">
      <c r="C75" s="280"/>
      <c r="D75" s="250"/>
      <c r="E75" s="897"/>
      <c r="F75" s="250"/>
      <c r="G75" s="420"/>
      <c r="I75" s="400"/>
      <c r="J75" s="221"/>
      <c r="K75" s="221"/>
      <c r="L75" s="221"/>
      <c r="M75" s="420"/>
      <c r="O75" s="406"/>
      <c r="P75" s="221"/>
      <c r="Q75" s="221"/>
      <c r="R75" s="311"/>
      <c r="S75" s="404"/>
      <c r="U75" s="280"/>
      <c r="V75" s="311"/>
      <c r="W75" s="489"/>
      <c r="X75" s="250"/>
      <c r="Y75" s="250"/>
      <c r="Z75" s="404"/>
    </row>
    <row r="76" spans="3:26" ht="9.75" customHeight="1" x14ac:dyDescent="0.2">
      <c r="C76" s="280"/>
      <c r="D76" s="250"/>
      <c r="E76" s="897"/>
      <c r="F76" s="250"/>
      <c r="G76" s="420"/>
      <c r="I76" s="400"/>
      <c r="J76" s="221"/>
      <c r="K76" s="221"/>
      <c r="L76" s="221"/>
      <c r="M76" s="420"/>
      <c r="O76" s="406"/>
      <c r="P76" s="221"/>
      <c r="Q76" s="221"/>
      <c r="R76" s="311"/>
      <c r="S76" s="404"/>
      <c r="U76" s="280"/>
      <c r="V76" s="311"/>
      <c r="W76" s="489"/>
      <c r="X76" s="250"/>
      <c r="Y76" s="250"/>
      <c r="Z76" s="404"/>
    </row>
    <row r="77" spans="3:26" ht="11.25" hidden="1" customHeight="1" x14ac:dyDescent="0.2">
      <c r="C77" s="280"/>
      <c r="D77" s="250"/>
      <c r="E77" s="897"/>
      <c r="F77" s="250"/>
      <c r="G77" s="420"/>
      <c r="I77" s="400"/>
      <c r="J77" s="221"/>
      <c r="K77" s="221"/>
      <c r="L77" s="221"/>
      <c r="M77" s="420"/>
      <c r="O77" s="406"/>
      <c r="P77" s="221"/>
      <c r="Q77" s="221"/>
      <c r="R77" s="311"/>
      <c r="S77" s="404"/>
      <c r="U77" s="280"/>
      <c r="V77" s="311"/>
      <c r="W77" s="488"/>
      <c r="X77" s="250"/>
      <c r="Y77" s="250"/>
      <c r="Z77" s="404"/>
    </row>
    <row r="78" spans="3:26" ht="11.25" customHeight="1" x14ac:dyDescent="0.2">
      <c r="C78" s="280"/>
      <c r="D78" s="250"/>
      <c r="E78" s="897"/>
      <c r="F78" s="250"/>
      <c r="G78" s="420"/>
      <c r="I78" s="400"/>
      <c r="J78" s="311"/>
      <c r="K78" s="311"/>
      <c r="L78" s="221"/>
      <c r="M78" s="420"/>
      <c r="O78" s="406"/>
      <c r="P78" s="221"/>
      <c r="Q78" s="221"/>
      <c r="R78" s="311"/>
      <c r="S78" s="404"/>
      <c r="U78" s="280"/>
      <c r="V78" s="311"/>
      <c r="W78" s="250"/>
      <c r="X78" s="250"/>
      <c r="Y78" s="250"/>
      <c r="Z78" s="404"/>
    </row>
    <row r="79" spans="3:26" ht="11.25" customHeight="1" x14ac:dyDescent="0.2">
      <c r="C79" s="280"/>
      <c r="D79" s="250"/>
      <c r="E79" s="897"/>
      <c r="F79" s="250"/>
      <c r="G79" s="420"/>
      <c r="I79" s="400"/>
      <c r="J79" s="221"/>
      <c r="K79" s="221"/>
      <c r="L79" s="221"/>
      <c r="M79" s="420"/>
      <c r="O79" s="406"/>
      <c r="P79" s="221"/>
      <c r="Q79" s="221"/>
      <c r="R79" s="311"/>
      <c r="S79" s="404"/>
      <c r="U79" s="280"/>
      <c r="V79" s="311"/>
      <c r="W79" s="250"/>
      <c r="X79" s="250"/>
      <c r="Y79" s="250"/>
      <c r="Z79" s="404"/>
    </row>
    <row r="80" spans="3:26" ht="11.25" customHeight="1" x14ac:dyDescent="0.2">
      <c r="C80" s="280"/>
      <c r="D80" s="250"/>
      <c r="E80" s="897"/>
      <c r="F80" s="250"/>
      <c r="G80" s="420"/>
      <c r="I80" s="400"/>
      <c r="J80" s="221"/>
      <c r="K80" s="221"/>
      <c r="L80" s="221"/>
      <c r="M80" s="420"/>
      <c r="O80" s="406"/>
      <c r="P80" s="221"/>
      <c r="Q80" s="221"/>
      <c r="R80" s="311"/>
      <c r="S80" s="404"/>
      <c r="U80" s="280"/>
      <c r="V80" s="311"/>
      <c r="W80" s="250"/>
      <c r="X80" s="250"/>
      <c r="Y80" s="250"/>
      <c r="Z80" s="404"/>
    </row>
    <row r="81" spans="3:26" ht="11.25" customHeight="1" x14ac:dyDescent="0.2">
      <c r="C81" s="280"/>
      <c r="D81" s="250"/>
      <c r="E81" s="897"/>
      <c r="F81" s="250"/>
      <c r="G81" s="420"/>
      <c r="I81" s="400"/>
      <c r="J81" s="221"/>
      <c r="K81" s="221"/>
      <c r="L81" s="221"/>
      <c r="M81" s="420"/>
      <c r="O81" s="406"/>
      <c r="P81" s="221"/>
      <c r="Q81" s="221"/>
      <c r="R81" s="311"/>
      <c r="S81" s="404"/>
      <c r="U81" s="280"/>
      <c r="V81" s="311"/>
      <c r="W81" s="250"/>
      <c r="X81" s="250"/>
      <c r="Y81" s="250"/>
      <c r="Z81" s="404"/>
    </row>
    <row r="82" spans="3:26" ht="11.25" customHeight="1" x14ac:dyDescent="0.2">
      <c r="C82" s="280"/>
      <c r="D82" s="250"/>
      <c r="E82" s="897"/>
      <c r="F82" s="250"/>
      <c r="G82" s="420"/>
      <c r="I82" s="400"/>
      <c r="J82" s="221"/>
      <c r="K82" s="221"/>
      <c r="L82" s="221"/>
      <c r="M82" s="420"/>
      <c r="O82" s="406"/>
      <c r="P82" s="221"/>
      <c r="Q82" s="221"/>
      <c r="R82" s="311"/>
      <c r="S82" s="404"/>
      <c r="U82" s="280"/>
      <c r="V82" s="311"/>
      <c r="W82" s="250"/>
      <c r="X82" s="250"/>
      <c r="Y82" s="250"/>
      <c r="Z82" s="404"/>
    </row>
    <row r="83" spans="3:26" ht="11.25" customHeight="1" x14ac:dyDescent="0.2">
      <c r="C83" s="280"/>
      <c r="D83" s="250"/>
      <c r="E83" s="897"/>
      <c r="F83" s="250"/>
      <c r="G83" s="420"/>
      <c r="I83" s="400"/>
      <c r="J83" s="221"/>
      <c r="K83" s="221"/>
      <c r="L83" s="221"/>
      <c r="M83" s="420"/>
      <c r="O83" s="406"/>
      <c r="P83" s="221"/>
      <c r="Q83" s="221"/>
      <c r="R83" s="311"/>
      <c r="S83" s="404"/>
      <c r="U83" s="280"/>
      <c r="V83" s="311"/>
      <c r="W83" s="250"/>
      <c r="X83" s="250"/>
      <c r="Y83" s="250"/>
      <c r="Z83" s="404"/>
    </row>
    <row r="84" spans="3:26" ht="11.25" customHeight="1" x14ac:dyDescent="0.2">
      <c r="C84" s="280"/>
      <c r="D84" s="250"/>
      <c r="E84" s="307"/>
      <c r="F84" s="250"/>
      <c r="G84" s="420"/>
      <c r="I84" s="400"/>
      <c r="J84" s="221"/>
      <c r="K84" s="221"/>
      <c r="L84" s="221"/>
      <c r="M84" s="420"/>
      <c r="O84" s="406"/>
      <c r="P84" s="221"/>
      <c r="Q84" s="221"/>
      <c r="R84" s="311"/>
      <c r="S84" s="404"/>
      <c r="U84" s="280"/>
      <c r="V84" s="311"/>
      <c r="W84" s="250"/>
      <c r="X84" s="250"/>
      <c r="Y84" s="250"/>
      <c r="Z84" s="404"/>
    </row>
    <row r="85" spans="3:26" ht="11.25" customHeight="1" x14ac:dyDescent="0.2">
      <c r="C85" s="280"/>
      <c r="D85" s="250"/>
      <c r="E85" s="307"/>
      <c r="F85" s="250"/>
      <c r="G85" s="420"/>
      <c r="I85" s="400"/>
      <c r="J85" s="221"/>
      <c r="K85" s="221"/>
      <c r="L85" s="221"/>
      <c r="M85" s="420"/>
      <c r="O85" s="406"/>
      <c r="P85" s="221"/>
      <c r="Q85" s="221"/>
      <c r="R85" s="311"/>
      <c r="S85" s="404"/>
      <c r="U85" s="280"/>
      <c r="V85" s="250"/>
      <c r="W85" s="250"/>
      <c r="X85" s="250"/>
      <c r="Y85" s="250"/>
      <c r="Z85" s="404"/>
    </row>
    <row r="86" spans="3:26" ht="11.25" customHeight="1" x14ac:dyDescent="0.2">
      <c r="C86" s="280"/>
      <c r="D86" s="250"/>
      <c r="E86" s="307"/>
      <c r="F86" s="250"/>
      <c r="G86" s="420"/>
      <c r="I86" s="400"/>
      <c r="J86" s="221"/>
      <c r="K86" s="221"/>
      <c r="L86" s="221"/>
      <c r="M86" s="420"/>
      <c r="O86" s="406"/>
      <c r="P86" s="221"/>
      <c r="Q86" s="221"/>
      <c r="R86" s="311"/>
      <c r="S86" s="404"/>
      <c r="U86" s="280"/>
      <c r="V86" s="250"/>
      <c r="W86" s="250"/>
      <c r="X86" s="250"/>
      <c r="Y86" s="250"/>
      <c r="Z86" s="404"/>
    </row>
    <row r="87" spans="3:26" ht="11.25" customHeight="1" x14ac:dyDescent="0.2">
      <c r="C87" s="280"/>
      <c r="D87" s="250"/>
      <c r="E87" s="307"/>
      <c r="F87" s="250"/>
      <c r="G87" s="420"/>
      <c r="I87" s="400"/>
      <c r="J87" s="221"/>
      <c r="K87" s="221"/>
      <c r="L87" s="221"/>
      <c r="M87" s="420"/>
      <c r="O87" s="406"/>
      <c r="P87" s="221"/>
      <c r="Q87" s="221"/>
      <c r="R87" s="311"/>
      <c r="S87" s="404"/>
      <c r="U87" s="280"/>
      <c r="V87" s="250"/>
      <c r="W87" s="250"/>
      <c r="X87" s="250"/>
      <c r="Y87" s="250"/>
      <c r="Z87" s="404"/>
    </row>
    <row r="88" spans="3:26" ht="11.25" customHeight="1" x14ac:dyDescent="0.2">
      <c r="C88" s="280"/>
      <c r="D88" s="250"/>
      <c r="E88" s="307"/>
      <c r="F88" s="250"/>
      <c r="G88" s="420"/>
      <c r="I88" s="400"/>
      <c r="J88" s="221"/>
      <c r="K88" s="221"/>
      <c r="L88" s="221"/>
      <c r="M88" s="420"/>
      <c r="O88" s="406"/>
      <c r="P88" s="221"/>
      <c r="Q88" s="221"/>
      <c r="R88" s="311"/>
      <c r="S88" s="404"/>
      <c r="U88" s="280"/>
      <c r="V88" s="250"/>
      <c r="W88" s="250"/>
      <c r="X88" s="250"/>
      <c r="Y88" s="250"/>
      <c r="Z88" s="404"/>
    </row>
    <row r="89" spans="3:26" ht="11.25" customHeight="1" x14ac:dyDescent="0.2">
      <c r="C89" s="280"/>
      <c r="D89" s="250"/>
      <c r="E89" s="307"/>
      <c r="F89" s="250"/>
      <c r="G89" s="420"/>
      <c r="I89" s="400"/>
      <c r="J89" s="221"/>
      <c r="K89" s="221"/>
      <c r="L89" s="221"/>
      <c r="M89" s="420"/>
      <c r="O89" s="406"/>
      <c r="P89" s="221"/>
      <c r="Q89" s="221"/>
      <c r="R89" s="311"/>
      <c r="S89" s="404"/>
      <c r="U89" s="280"/>
      <c r="V89" s="250"/>
      <c r="W89" s="250"/>
      <c r="X89" s="250"/>
      <c r="Y89" s="250"/>
      <c r="Z89" s="404"/>
    </row>
    <row r="90" spans="3:26" ht="11.25" customHeight="1" x14ac:dyDescent="0.2">
      <c r="C90" s="280"/>
      <c r="D90" s="250"/>
      <c r="E90" s="307"/>
      <c r="F90" s="250"/>
      <c r="G90" s="420"/>
      <c r="I90" s="400"/>
      <c r="J90" s="221"/>
      <c r="K90" s="221"/>
      <c r="L90" s="221"/>
      <c r="M90" s="420"/>
      <c r="O90" s="406"/>
      <c r="P90" s="221"/>
      <c r="Q90" s="221"/>
      <c r="R90" s="311"/>
      <c r="S90" s="404"/>
      <c r="U90" s="280"/>
      <c r="V90" s="250"/>
      <c r="W90" s="250"/>
      <c r="X90" s="250"/>
      <c r="Y90" s="250"/>
      <c r="Z90" s="404"/>
    </row>
    <row r="91" spans="3:26" x14ac:dyDescent="0.2">
      <c r="C91" s="280"/>
      <c r="D91" s="250"/>
      <c r="E91" s="307"/>
      <c r="F91" s="250"/>
      <c r="G91" s="420"/>
      <c r="I91" s="400"/>
      <c r="J91" s="221"/>
      <c r="K91" s="221"/>
      <c r="L91" s="221"/>
      <c r="M91" s="420"/>
      <c r="O91" s="406"/>
      <c r="P91" s="221"/>
      <c r="Q91" s="221"/>
      <c r="R91" s="311"/>
      <c r="S91" s="404"/>
      <c r="U91" s="280"/>
      <c r="V91" s="250"/>
      <c r="W91" s="250"/>
      <c r="X91" s="250"/>
      <c r="Y91" s="250"/>
      <c r="Z91" s="404"/>
    </row>
    <row r="92" spans="3:26" x14ac:dyDescent="0.2">
      <c r="C92" s="280"/>
      <c r="D92" s="250"/>
      <c r="E92" s="307"/>
      <c r="F92" s="250"/>
      <c r="G92" s="420"/>
      <c r="I92" s="400"/>
      <c r="J92" s="221"/>
      <c r="K92" s="221"/>
      <c r="L92" s="221"/>
      <c r="M92" s="420"/>
      <c r="O92" s="406"/>
      <c r="P92" s="221"/>
      <c r="Q92" s="221"/>
      <c r="R92" s="311"/>
      <c r="S92" s="404"/>
      <c r="U92" s="280"/>
      <c r="V92" s="250"/>
      <c r="W92" s="250"/>
      <c r="X92" s="250"/>
      <c r="Y92" s="250"/>
      <c r="Z92" s="404"/>
    </row>
    <row r="93" spans="3:26" x14ac:dyDescent="0.2">
      <c r="C93" s="280"/>
      <c r="D93" s="250"/>
      <c r="E93" s="307"/>
      <c r="F93" s="250"/>
      <c r="G93" s="420"/>
      <c r="I93" s="400"/>
      <c r="J93" s="221"/>
      <c r="K93" s="221"/>
      <c r="L93" s="221"/>
      <c r="M93" s="420"/>
      <c r="O93" s="406"/>
      <c r="P93" s="221"/>
      <c r="Q93" s="221"/>
      <c r="R93" s="311"/>
      <c r="S93" s="404"/>
      <c r="U93" s="280"/>
      <c r="V93" s="250"/>
      <c r="W93" s="250"/>
      <c r="X93" s="250"/>
      <c r="Y93" s="250"/>
      <c r="Z93" s="404"/>
    </row>
    <row r="94" spans="3:26" x14ac:dyDescent="0.2">
      <c r="C94" s="280"/>
      <c r="D94" s="250"/>
      <c r="E94" s="307"/>
      <c r="F94" s="250"/>
      <c r="G94" s="420"/>
      <c r="I94" s="400"/>
      <c r="J94" s="221"/>
      <c r="K94" s="221"/>
      <c r="L94" s="221"/>
      <c r="M94" s="420"/>
      <c r="O94" s="406"/>
      <c r="P94" s="221"/>
      <c r="Q94" s="221"/>
      <c r="R94" s="311"/>
      <c r="S94" s="404"/>
      <c r="U94" s="280"/>
      <c r="V94" s="250"/>
      <c r="W94" s="250"/>
      <c r="X94" s="250"/>
      <c r="Y94" s="250"/>
      <c r="Z94" s="404"/>
    </row>
    <row r="95" spans="3:26" x14ac:dyDescent="0.2">
      <c r="C95" s="280"/>
      <c r="D95" s="250"/>
      <c r="E95" s="307"/>
      <c r="F95" s="250"/>
      <c r="G95" s="420"/>
      <c r="I95" s="400"/>
      <c r="J95" s="221"/>
      <c r="K95" s="221"/>
      <c r="L95" s="221"/>
      <c r="M95" s="420"/>
      <c r="O95" s="406"/>
      <c r="P95" s="221"/>
      <c r="Q95" s="221"/>
      <c r="R95" s="311"/>
      <c r="S95" s="404"/>
      <c r="U95" s="280"/>
      <c r="V95" s="250"/>
      <c r="W95" s="250"/>
      <c r="X95" s="250"/>
      <c r="Y95" s="250"/>
      <c r="Z95" s="404"/>
    </row>
    <row r="96" spans="3:26" x14ac:dyDescent="0.2">
      <c r="C96" s="280"/>
      <c r="D96" s="250"/>
      <c r="E96" s="307"/>
      <c r="F96" s="250"/>
      <c r="G96" s="420"/>
      <c r="I96" s="400"/>
      <c r="J96" s="221"/>
      <c r="K96" s="221"/>
      <c r="L96" s="221"/>
      <c r="M96" s="420"/>
      <c r="O96" s="406"/>
      <c r="P96" s="221"/>
      <c r="Q96" s="221"/>
      <c r="R96" s="311"/>
      <c r="S96" s="404"/>
      <c r="U96" s="280"/>
      <c r="V96" s="250"/>
      <c r="W96" s="250"/>
      <c r="X96" s="250"/>
      <c r="Y96" s="250"/>
      <c r="Z96" s="404"/>
    </row>
    <row r="97" spans="3:26" x14ac:dyDescent="0.2">
      <c r="C97" s="280"/>
      <c r="D97" s="250"/>
      <c r="E97" s="307"/>
      <c r="F97" s="250"/>
      <c r="G97" s="420"/>
      <c r="I97" s="400"/>
      <c r="J97" s="221"/>
      <c r="K97" s="221"/>
      <c r="L97" s="221"/>
      <c r="M97" s="420"/>
      <c r="O97" s="406"/>
      <c r="P97" s="221"/>
      <c r="Q97" s="221"/>
      <c r="R97" s="311"/>
      <c r="S97" s="404"/>
      <c r="U97" s="280"/>
      <c r="V97" s="250"/>
      <c r="W97" s="250"/>
      <c r="X97" s="250"/>
      <c r="Y97" s="250"/>
      <c r="Z97" s="404"/>
    </row>
    <row r="98" spans="3:26" x14ac:dyDescent="0.2">
      <c r="C98" s="281"/>
      <c r="D98" s="282"/>
      <c r="E98" s="283"/>
      <c r="F98" s="282"/>
      <c r="G98" s="421"/>
      <c r="I98" s="402"/>
      <c r="J98" s="397"/>
      <c r="K98" s="397"/>
      <c r="L98" s="397"/>
      <c r="M98" s="421"/>
      <c r="O98" s="407"/>
      <c r="P98" s="397"/>
      <c r="Q98" s="397"/>
      <c r="R98" s="429"/>
      <c r="S98" s="405"/>
      <c r="U98" s="281"/>
      <c r="V98" s="282"/>
      <c r="W98" s="282"/>
      <c r="X98" s="282"/>
      <c r="Y98" s="282"/>
      <c r="Z98" s="405"/>
    </row>
    <row r="127" spans="25:28" x14ac:dyDescent="0.2">
      <c r="Y127" s="784"/>
      <c r="Z127" s="784"/>
      <c r="AA127" s="784"/>
      <c r="AB127" s="784"/>
    </row>
  </sheetData>
  <mergeCells count="10">
    <mergeCell ref="I50:M50"/>
    <mergeCell ref="O50:S50"/>
    <mergeCell ref="U50:Z50"/>
    <mergeCell ref="B1:C6"/>
    <mergeCell ref="E2:AU2"/>
    <mergeCell ref="I3:K4"/>
    <mergeCell ref="G6:M6"/>
    <mergeCell ref="G7:M7"/>
    <mergeCell ref="N7:S7"/>
    <mergeCell ref="C50:G50"/>
  </mergeCells>
  <phoneticPr fontId="4" type="noConversion"/>
  <pageMargins left="0.75" right="0.75" top="1" bottom="1" header="0.5" footer="0.5"/>
  <pageSetup paperSize="9" scale="29" orientation="landscape" r:id="rId1"/>
  <headerFooter alignWithMargins="0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O63"/>
  <sheetViews>
    <sheetView tabSelected="1" topLeftCell="A4" zoomScale="70" zoomScaleNormal="70" workbookViewId="0">
      <selection activeCell="S41" sqref="S41"/>
    </sheetView>
  </sheetViews>
  <sheetFormatPr defaultRowHeight="12.75" x14ac:dyDescent="0.2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74" customWidth="1"/>
  </cols>
  <sheetData>
    <row r="1" spans="1:15" ht="15" x14ac:dyDescent="0.2">
      <c r="A1" s="22"/>
      <c r="B1" s="25"/>
      <c r="C1" s="26"/>
      <c r="D1" s="25"/>
      <c r="E1" s="25"/>
      <c r="F1" s="27"/>
      <c r="G1" s="79"/>
      <c r="H1" s="25"/>
      <c r="I1" s="25"/>
      <c r="J1" s="95"/>
    </row>
    <row r="2" spans="1:15" ht="15" x14ac:dyDescent="0.2">
      <c r="A2" s="23"/>
      <c r="B2" s="28"/>
      <c r="C2" s="29"/>
      <c r="D2" s="28"/>
      <c r="E2" s="28"/>
      <c r="F2" s="30"/>
      <c r="G2" s="83"/>
      <c r="H2" s="28"/>
      <c r="I2" s="28"/>
      <c r="J2" s="96"/>
    </row>
    <row r="3" spans="1:15" ht="22.5" x14ac:dyDescent="0.3">
      <c r="A3" s="23"/>
      <c r="B3" s="28"/>
      <c r="C3" s="409" t="s">
        <v>224</v>
      </c>
      <c r="D3" s="410"/>
      <c r="E3" s="410"/>
      <c r="F3" s="411"/>
      <c r="G3" s="412"/>
      <c r="H3" s="31"/>
      <c r="I3" s="31"/>
      <c r="J3" s="97"/>
    </row>
    <row r="4" spans="1:15" ht="15" x14ac:dyDescent="0.2">
      <c r="A4" s="23"/>
      <c r="B4" s="28"/>
      <c r="C4" s="29"/>
      <c r="D4" s="28"/>
      <c r="E4" s="28"/>
      <c r="F4" s="39"/>
      <c r="G4" s="83"/>
      <c r="H4" s="28"/>
      <c r="I4" s="28"/>
      <c r="J4" s="96"/>
    </row>
    <row r="5" spans="1:15" ht="15" x14ac:dyDescent="0.2">
      <c r="A5" s="21"/>
      <c r="B5" s="32"/>
      <c r="C5" s="33"/>
      <c r="D5" s="32"/>
      <c r="E5" s="32"/>
      <c r="F5" s="34"/>
      <c r="G5" s="83"/>
      <c r="H5" s="28"/>
      <c r="I5" s="28"/>
      <c r="J5" s="98"/>
    </row>
    <row r="6" spans="1:15" ht="13.5" customHeight="1" x14ac:dyDescent="0.3">
      <c r="A6" s="5"/>
      <c r="B6" s="35"/>
      <c r="C6" s="971"/>
      <c r="D6" s="972"/>
      <c r="E6" s="973"/>
      <c r="F6" s="973"/>
      <c r="G6" s="38" t="s">
        <v>225</v>
      </c>
      <c r="H6" s="36" t="s">
        <v>226</v>
      </c>
      <c r="I6" s="31"/>
      <c r="J6" s="96"/>
    </row>
    <row r="7" spans="1:15" ht="18" customHeight="1" x14ac:dyDescent="0.3">
      <c r="A7" s="974" t="s">
        <v>227</v>
      </c>
      <c r="B7" s="81" t="s">
        <v>228</v>
      </c>
      <c r="C7" s="80" t="s">
        <v>229</v>
      </c>
      <c r="D7" s="81" t="s">
        <v>230</v>
      </c>
      <c r="E7" s="85"/>
      <c r="F7" s="86" t="s">
        <v>231</v>
      </c>
      <c r="G7" s="87" t="s">
        <v>123</v>
      </c>
      <c r="H7" s="133" t="s">
        <v>232</v>
      </c>
      <c r="I7" s="88" t="s">
        <v>233</v>
      </c>
      <c r="J7" s="37" t="s">
        <v>102</v>
      </c>
    </row>
    <row r="8" spans="1:15" ht="18" customHeight="1" x14ac:dyDescent="0.3">
      <c r="A8" s="975"/>
      <c r="B8" s="243" t="s">
        <v>234</v>
      </c>
      <c r="C8" s="81" t="s">
        <v>235</v>
      </c>
      <c r="D8" s="82" t="s">
        <v>236</v>
      </c>
      <c r="E8" s="90"/>
      <c r="F8" s="93" t="s">
        <v>237</v>
      </c>
      <c r="G8" s="91" t="s">
        <v>238</v>
      </c>
      <c r="H8" s="89" t="s">
        <v>37</v>
      </c>
      <c r="I8" s="92" t="s">
        <v>239</v>
      </c>
      <c r="J8" s="37" t="s">
        <v>240</v>
      </c>
    </row>
    <row r="9" spans="1:15" ht="18.75" x14ac:dyDescent="0.3">
      <c r="A9" s="208"/>
      <c r="B9" s="685"/>
      <c r="C9" s="685"/>
      <c r="D9" s="685"/>
      <c r="E9" s="685"/>
      <c r="F9" s="891">
        <v>81529.710000000006</v>
      </c>
      <c r="G9" s="224"/>
      <c r="H9" s="24"/>
      <c r="I9" s="19"/>
      <c r="J9" s="99"/>
      <c r="N9" s="134"/>
      <c r="O9" s="134"/>
    </row>
    <row r="10" spans="1:15" ht="18.75" x14ac:dyDescent="0.3">
      <c r="A10" s="77">
        <f>Gen!B11</f>
        <v>44531</v>
      </c>
      <c r="B10" s="685">
        <v>85</v>
      </c>
      <c r="C10" s="685">
        <v>84</v>
      </c>
      <c r="D10" s="685">
        <v>0</v>
      </c>
      <c r="E10" s="686"/>
      <c r="F10" s="685">
        <v>81552.72</v>
      </c>
      <c r="G10" s="224">
        <f>(F10-F9)*4.4</f>
        <v>101.24399999997696</v>
      </c>
      <c r="H10" s="94">
        <f>Gen!C11</f>
        <v>5.1900000000000002E-2</v>
      </c>
      <c r="I10" s="907">
        <v>10</v>
      </c>
      <c r="J10" s="667">
        <f>SUM(G10/I10)</f>
        <v>10.124399999997696</v>
      </c>
      <c r="N10" s="134"/>
      <c r="O10" s="134"/>
    </row>
    <row r="11" spans="1:15" ht="18.75" x14ac:dyDescent="0.3">
      <c r="A11" s="77">
        <f>Gen!B12</f>
        <v>44532</v>
      </c>
      <c r="B11" s="685">
        <v>85</v>
      </c>
      <c r="C11" s="685">
        <v>80</v>
      </c>
      <c r="D11" s="685">
        <v>0</v>
      </c>
      <c r="E11" s="686"/>
      <c r="F11" s="892">
        <v>81568.7</v>
      </c>
      <c r="G11" s="224">
        <f>(F11-F10)*4.4</f>
        <v>70.311999999982078</v>
      </c>
      <c r="H11" s="94">
        <f>Gen!C12</f>
        <v>0.05</v>
      </c>
      <c r="I11" s="666">
        <v>9</v>
      </c>
      <c r="J11" s="667">
        <f t="shared" ref="J11:J14" si="0">SUM(G11/I11)</f>
        <v>7.8124444444424528</v>
      </c>
      <c r="M11" s="134"/>
      <c r="N11" s="134"/>
    </row>
    <row r="12" spans="1:15" ht="18.75" x14ac:dyDescent="0.3">
      <c r="A12" s="77">
        <f>Gen!B13</f>
        <v>44533</v>
      </c>
      <c r="B12" s="685">
        <v>85</v>
      </c>
      <c r="C12" s="782">
        <v>74</v>
      </c>
      <c r="D12" s="782">
        <v>0</v>
      </c>
      <c r="E12" s="793"/>
      <c r="F12" s="795">
        <v>81582.240000000005</v>
      </c>
      <c r="G12" s="781">
        <f t="shared" ref="G12:G40" si="1">(F12-F11)*4.4</f>
        <v>59.576000000035862</v>
      </c>
      <c r="H12" s="94">
        <f>Gen!C13</f>
        <v>0.05</v>
      </c>
      <c r="I12" s="666">
        <v>10</v>
      </c>
      <c r="J12" s="667">
        <f t="shared" si="0"/>
        <v>5.9576000000035858</v>
      </c>
      <c r="M12" s="134"/>
      <c r="N12" s="134"/>
    </row>
    <row r="13" spans="1:15" ht="18.75" x14ac:dyDescent="0.3">
      <c r="A13" s="77">
        <f>Gen!B14</f>
        <v>44534</v>
      </c>
      <c r="B13" s="780">
        <v>85</v>
      </c>
      <c r="C13" s="779">
        <v>65</v>
      </c>
      <c r="D13" s="779">
        <v>0</v>
      </c>
      <c r="E13" s="794"/>
      <c r="F13" s="796">
        <v>81596.22</v>
      </c>
      <c r="G13" s="781">
        <f t="shared" si="1"/>
        <v>61.511999999982073</v>
      </c>
      <c r="H13" s="94">
        <f>Gen!C14</f>
        <v>0.08</v>
      </c>
      <c r="I13" s="666">
        <v>16</v>
      </c>
      <c r="J13" s="667">
        <f t="shared" si="0"/>
        <v>3.8444999999988796</v>
      </c>
      <c r="M13" s="134"/>
      <c r="N13" s="134"/>
    </row>
    <row r="14" spans="1:15" ht="18.75" x14ac:dyDescent="0.3">
      <c r="A14" s="77">
        <f>Gen!B15</f>
        <v>44535</v>
      </c>
      <c r="B14" s="780">
        <v>85</v>
      </c>
      <c r="C14" s="779">
        <v>55</v>
      </c>
      <c r="D14" s="779">
        <v>0</v>
      </c>
      <c r="E14" s="794"/>
      <c r="F14" s="797">
        <v>81616.070000000007</v>
      </c>
      <c r="G14" s="781">
        <f t="shared" si="1"/>
        <v>87.340000000025611</v>
      </c>
      <c r="H14" s="94">
        <f>Gen!C15</f>
        <v>0.05</v>
      </c>
      <c r="I14" s="666">
        <v>12</v>
      </c>
      <c r="J14" s="667">
        <f t="shared" si="0"/>
        <v>7.2783333333354676</v>
      </c>
      <c r="M14" s="134"/>
      <c r="N14" s="134"/>
    </row>
    <row r="15" spans="1:15" ht="18.75" x14ac:dyDescent="0.3">
      <c r="A15" s="77">
        <f>Gen!B16</f>
        <v>44536</v>
      </c>
      <c r="B15" s="685">
        <v>85</v>
      </c>
      <c r="C15" s="783">
        <v>50</v>
      </c>
      <c r="D15" s="783">
        <v>0</v>
      </c>
      <c r="E15" s="793"/>
      <c r="F15" s="796">
        <v>81640.5</v>
      </c>
      <c r="G15" s="781">
        <f t="shared" si="1"/>
        <v>107.49199999996928</v>
      </c>
      <c r="H15" s="94">
        <f>Gen!C16</f>
        <v>7.7899999999999997E-2</v>
      </c>
      <c r="I15" s="666">
        <v>17</v>
      </c>
      <c r="J15" s="667">
        <f>SUM(G15/I15)</f>
        <v>6.3230588235276048</v>
      </c>
      <c r="M15" s="134"/>
      <c r="N15" s="134"/>
    </row>
    <row r="16" spans="1:15" ht="18.75" x14ac:dyDescent="0.3">
      <c r="A16" s="77">
        <f>Gen!B17</f>
        <v>44537</v>
      </c>
      <c r="B16" s="685">
        <v>85</v>
      </c>
      <c r="C16" s="685">
        <v>45</v>
      </c>
      <c r="D16" s="685">
        <v>0</v>
      </c>
      <c r="E16" s="793"/>
      <c r="F16" s="796">
        <v>81661.11</v>
      </c>
      <c r="G16" s="781">
        <f t="shared" si="1"/>
        <v>90.68400000000257</v>
      </c>
      <c r="H16" s="94">
        <f>Gen!C17</f>
        <v>7.7899999999999997E-2</v>
      </c>
      <c r="I16" s="666">
        <v>15</v>
      </c>
      <c r="J16" s="667">
        <f t="shared" ref="J16:J40" si="2">SUM(G16/I16)</f>
        <v>6.0456000000001717</v>
      </c>
      <c r="M16" s="134"/>
      <c r="N16" s="134"/>
    </row>
    <row r="17" spans="1:14" ht="18.75" x14ac:dyDescent="0.3">
      <c r="A17" s="77">
        <f>Gen!B18</f>
        <v>44538</v>
      </c>
      <c r="B17" s="685">
        <v>85</v>
      </c>
      <c r="C17" s="685">
        <v>40</v>
      </c>
      <c r="D17" s="685">
        <v>0</v>
      </c>
      <c r="E17" s="793"/>
      <c r="F17" s="796">
        <v>81683.81</v>
      </c>
      <c r="G17" s="781">
        <f t="shared" si="1"/>
        <v>99.879999999987206</v>
      </c>
      <c r="H17" s="94">
        <f>Gen!C18</f>
        <v>0.12</v>
      </c>
      <c r="I17" s="666">
        <v>23</v>
      </c>
      <c r="J17" s="667">
        <f t="shared" si="2"/>
        <v>4.3426086956516174</v>
      </c>
      <c r="M17" s="134"/>
      <c r="N17" s="134"/>
    </row>
    <row r="18" spans="1:14" ht="18.75" x14ac:dyDescent="0.3">
      <c r="A18" s="77">
        <f>Gen!B19</f>
        <v>44539</v>
      </c>
      <c r="B18" s="685">
        <v>85</v>
      </c>
      <c r="C18" s="685">
        <v>35</v>
      </c>
      <c r="D18" s="685">
        <v>0</v>
      </c>
      <c r="E18" s="793"/>
      <c r="F18" s="796">
        <v>81708.58</v>
      </c>
      <c r="G18" s="781">
        <f t="shared" si="1"/>
        <v>108.98800000001793</v>
      </c>
      <c r="H18" s="94">
        <f>Gen!C19</f>
        <v>0.09</v>
      </c>
      <c r="I18" s="666">
        <v>19</v>
      </c>
      <c r="J18" s="667">
        <f t="shared" si="2"/>
        <v>5.7362105263167331</v>
      </c>
      <c r="M18" s="134"/>
      <c r="N18" s="134"/>
    </row>
    <row r="19" spans="1:14" ht="18.75" x14ac:dyDescent="0.3">
      <c r="A19" s="77">
        <f>Gen!B20</f>
        <v>44540</v>
      </c>
      <c r="B19" s="685">
        <v>85</v>
      </c>
      <c r="C19" s="685">
        <v>30</v>
      </c>
      <c r="D19" s="685">
        <v>0</v>
      </c>
      <c r="E19" s="793"/>
      <c r="F19" s="796">
        <v>81733.58</v>
      </c>
      <c r="G19" s="781">
        <f t="shared" si="1"/>
        <v>110.00000000000001</v>
      </c>
      <c r="H19" s="94">
        <f>Gen!C20</f>
        <v>0.12</v>
      </c>
      <c r="I19" s="666">
        <v>20</v>
      </c>
      <c r="J19" s="667">
        <f t="shared" si="2"/>
        <v>5.5000000000000009</v>
      </c>
      <c r="M19" s="134"/>
      <c r="N19" s="134"/>
    </row>
    <row r="20" spans="1:14" ht="18.75" x14ac:dyDescent="0.3">
      <c r="A20" s="77">
        <f>Gen!B21</f>
        <v>44541</v>
      </c>
      <c r="B20" s="685">
        <v>85</v>
      </c>
      <c r="C20" s="685">
        <v>22</v>
      </c>
      <c r="D20" s="685">
        <v>0</v>
      </c>
      <c r="E20" s="793"/>
      <c r="F20" s="798">
        <v>81757.53</v>
      </c>
      <c r="G20" s="781">
        <f t="shared" si="1"/>
        <v>105.37999999998721</v>
      </c>
      <c r="H20" s="94">
        <f>Gen!C21</f>
        <v>0.12</v>
      </c>
      <c r="I20" s="666">
        <v>22</v>
      </c>
      <c r="J20" s="667">
        <f t="shared" si="2"/>
        <v>4.7899999999994183</v>
      </c>
    </row>
    <row r="21" spans="1:14" ht="18.75" x14ac:dyDescent="0.3">
      <c r="A21" s="77">
        <f>Gen!B22</f>
        <v>44542</v>
      </c>
      <c r="B21" s="685">
        <v>85</v>
      </c>
      <c r="C21" s="685">
        <v>15</v>
      </c>
      <c r="D21" s="685">
        <v>0</v>
      </c>
      <c r="E21" s="793"/>
      <c r="F21" s="798">
        <v>81781.77</v>
      </c>
      <c r="G21" s="781">
        <f t="shared" si="1"/>
        <v>106.65600000002306</v>
      </c>
      <c r="H21" s="94">
        <f>Gen!C22</f>
        <v>0.12</v>
      </c>
      <c r="I21" s="666">
        <v>23</v>
      </c>
      <c r="J21" s="667">
        <f t="shared" si="2"/>
        <v>4.6372173913053505</v>
      </c>
    </row>
    <row r="22" spans="1:14" ht="18.75" x14ac:dyDescent="0.3">
      <c r="A22" s="77">
        <f>Gen!B23</f>
        <v>44543</v>
      </c>
      <c r="B22" s="685">
        <v>85</v>
      </c>
      <c r="C22" s="685">
        <v>10</v>
      </c>
      <c r="D22" s="685">
        <v>0</v>
      </c>
      <c r="E22" s="793"/>
      <c r="F22" s="798">
        <v>81806.320000000007</v>
      </c>
      <c r="G22" s="781">
        <f t="shared" si="1"/>
        <v>108.02000000001281</v>
      </c>
      <c r="H22" s="94">
        <f>Gen!C23</f>
        <v>0.16</v>
      </c>
      <c r="I22" s="666">
        <v>27</v>
      </c>
      <c r="J22" s="667">
        <f t="shared" si="2"/>
        <v>4.0007407407412154</v>
      </c>
    </row>
    <row r="23" spans="1:14" ht="18.75" x14ac:dyDescent="0.3">
      <c r="A23" s="77">
        <f>Gen!B24</f>
        <v>44544</v>
      </c>
      <c r="B23" s="685">
        <v>85</v>
      </c>
      <c r="C23" s="685">
        <v>7</v>
      </c>
      <c r="D23" s="685">
        <v>0</v>
      </c>
      <c r="E23" s="793"/>
      <c r="F23" s="798">
        <v>81829.88</v>
      </c>
      <c r="G23" s="781">
        <f t="shared" si="1"/>
        <v>103.66399999998977</v>
      </c>
      <c r="H23" s="94">
        <f>Gen!C24</f>
        <v>0.17</v>
      </c>
      <c r="I23" s="666">
        <v>27</v>
      </c>
      <c r="J23" s="667">
        <f t="shared" si="2"/>
        <v>3.8394074074070286</v>
      </c>
    </row>
    <row r="24" spans="1:14" ht="18.75" x14ac:dyDescent="0.3">
      <c r="A24" s="77">
        <f>Gen!B25</f>
        <v>44545</v>
      </c>
      <c r="B24" s="685">
        <v>85</v>
      </c>
      <c r="C24" s="685">
        <v>6</v>
      </c>
      <c r="D24" s="685">
        <v>0</v>
      </c>
      <c r="E24" s="793"/>
      <c r="F24" s="798">
        <v>81852.25</v>
      </c>
      <c r="G24" s="781">
        <f t="shared" si="1"/>
        <v>98.427999999979519</v>
      </c>
      <c r="H24" s="94">
        <f>Gen!C25</f>
        <v>0.18</v>
      </c>
      <c r="I24" s="666">
        <v>29</v>
      </c>
      <c r="J24" s="667">
        <f t="shared" si="2"/>
        <v>3.394068965516535</v>
      </c>
    </row>
    <row r="25" spans="1:14" ht="18.75" x14ac:dyDescent="0.3">
      <c r="A25" s="77">
        <f>Gen!B26</f>
        <v>44546</v>
      </c>
      <c r="B25" s="685">
        <v>85</v>
      </c>
      <c r="C25" s="685">
        <v>5</v>
      </c>
      <c r="D25" s="685">
        <v>0</v>
      </c>
      <c r="E25" s="793"/>
      <c r="F25" s="798">
        <v>81876.12</v>
      </c>
      <c r="G25" s="781">
        <f t="shared" si="1"/>
        <v>105.02799999997951</v>
      </c>
      <c r="H25" s="94">
        <f>Gen!C26</f>
        <v>0.16</v>
      </c>
      <c r="I25" s="666">
        <v>31</v>
      </c>
      <c r="J25" s="667">
        <f t="shared" si="2"/>
        <v>3.3879999999993391</v>
      </c>
    </row>
    <row r="26" spans="1:14" ht="18.75" x14ac:dyDescent="0.3">
      <c r="A26" s="77">
        <f>Gen!B27</f>
        <v>44547</v>
      </c>
      <c r="B26" s="685">
        <v>85</v>
      </c>
      <c r="C26" s="685">
        <v>4</v>
      </c>
      <c r="D26" s="685">
        <v>0</v>
      </c>
      <c r="E26" s="793"/>
      <c r="F26" s="798">
        <v>81899.240000000005</v>
      </c>
      <c r="G26" s="781">
        <f t="shared" si="1"/>
        <v>101.72800000004355</v>
      </c>
      <c r="H26" s="94">
        <f>Gen!C27</f>
        <v>0.16</v>
      </c>
      <c r="I26" s="666">
        <v>35</v>
      </c>
      <c r="J26" s="667">
        <f t="shared" si="2"/>
        <v>2.9065142857155299</v>
      </c>
    </row>
    <row r="27" spans="1:14" ht="18.75" x14ac:dyDescent="0.3">
      <c r="A27" s="77">
        <f>Gen!B28</f>
        <v>44548</v>
      </c>
      <c r="B27" s="685">
        <v>85</v>
      </c>
      <c r="C27" s="685">
        <v>3</v>
      </c>
      <c r="D27" s="224">
        <v>0</v>
      </c>
      <c r="E27" s="793"/>
      <c r="F27" s="798">
        <v>81923.62</v>
      </c>
      <c r="G27" s="781">
        <f t="shared" si="1"/>
        <v>107.27199999995646</v>
      </c>
      <c r="H27" s="94">
        <f>Gen!C28</f>
        <v>0.13</v>
      </c>
      <c r="I27" s="666">
        <v>33</v>
      </c>
      <c r="J27" s="667">
        <f t="shared" si="2"/>
        <v>3.2506666666653472</v>
      </c>
    </row>
    <row r="28" spans="1:14" ht="18.75" x14ac:dyDescent="0.3">
      <c r="A28" s="77">
        <f>Gen!B29</f>
        <v>44549</v>
      </c>
      <c r="B28" s="685">
        <v>85</v>
      </c>
      <c r="C28" s="224">
        <v>2</v>
      </c>
      <c r="D28" s="224">
        <v>0</v>
      </c>
      <c r="E28" s="793"/>
      <c r="F28" s="798">
        <v>81945.09</v>
      </c>
      <c r="G28" s="781">
        <f t="shared" si="1"/>
        <v>94.468000000005134</v>
      </c>
      <c r="H28" s="94">
        <f>Gen!C29</f>
        <v>0.12</v>
      </c>
      <c r="I28" s="666">
        <v>29</v>
      </c>
      <c r="J28" s="667">
        <f t="shared" si="2"/>
        <v>3.2575172413794875</v>
      </c>
    </row>
    <row r="29" spans="1:14" ht="18.75" x14ac:dyDescent="0.3">
      <c r="A29" s="77">
        <f>Gen!B30</f>
        <v>44550</v>
      </c>
      <c r="B29" s="224">
        <v>85</v>
      </c>
      <c r="C29" s="224">
        <v>1</v>
      </c>
      <c r="D29" s="224">
        <v>0</v>
      </c>
      <c r="E29" s="793"/>
      <c r="F29" s="798">
        <v>81965.06</v>
      </c>
      <c r="G29" s="781">
        <f t="shared" si="1"/>
        <v>87.868000000005125</v>
      </c>
      <c r="H29" s="94">
        <f>Gen!C30</f>
        <v>0.06</v>
      </c>
      <c r="I29" s="666">
        <v>19</v>
      </c>
      <c r="J29" s="667">
        <f t="shared" si="2"/>
        <v>4.6246315789476382</v>
      </c>
    </row>
    <row r="30" spans="1:14" ht="18.75" x14ac:dyDescent="0.3">
      <c r="A30" s="77">
        <f>Gen!B31</f>
        <v>44551</v>
      </c>
      <c r="B30" s="224">
        <v>83</v>
      </c>
      <c r="C30" s="224">
        <v>0</v>
      </c>
      <c r="D30" s="224">
        <v>0</v>
      </c>
      <c r="E30" s="793"/>
      <c r="F30" s="798">
        <v>81990.84</v>
      </c>
      <c r="G30" s="781">
        <f t="shared" si="1"/>
        <v>113.43199999999489</v>
      </c>
      <c r="H30" s="94">
        <f>Gen!C31</f>
        <v>0.1</v>
      </c>
      <c r="I30" s="666">
        <v>22</v>
      </c>
      <c r="J30" s="667">
        <f t="shared" si="2"/>
        <v>5.1559999999997679</v>
      </c>
    </row>
    <row r="31" spans="1:14" ht="18.75" x14ac:dyDescent="0.3">
      <c r="A31" s="77">
        <f>Gen!B32</f>
        <v>44552</v>
      </c>
      <c r="B31" s="224">
        <v>81</v>
      </c>
      <c r="C31" s="224">
        <v>0</v>
      </c>
      <c r="D31" s="224">
        <v>0</v>
      </c>
      <c r="E31" s="793"/>
      <c r="F31" s="798">
        <v>82016.850000000006</v>
      </c>
      <c r="G31" s="781">
        <f t="shared" si="1"/>
        <v>114.44400000004099</v>
      </c>
      <c r="H31" s="94">
        <f>Gen!C32</f>
        <v>0.17</v>
      </c>
      <c r="I31" s="666">
        <v>33</v>
      </c>
      <c r="J31" s="667">
        <f t="shared" si="2"/>
        <v>3.4680000000012421</v>
      </c>
    </row>
    <row r="32" spans="1:14" ht="18.75" x14ac:dyDescent="0.3">
      <c r="A32" s="77">
        <f>Gen!B33</f>
        <v>44553</v>
      </c>
      <c r="B32" s="224">
        <v>78</v>
      </c>
      <c r="C32" s="224">
        <v>0</v>
      </c>
      <c r="D32" s="224">
        <v>0</v>
      </c>
      <c r="E32" s="793"/>
      <c r="F32" s="795">
        <v>82042.78</v>
      </c>
      <c r="G32" s="781">
        <f t="shared" si="1"/>
        <v>114.09199999996927</v>
      </c>
      <c r="H32" s="94">
        <f>Gen!C33</f>
        <v>0.17</v>
      </c>
      <c r="I32" s="666">
        <v>35</v>
      </c>
      <c r="J32" s="667">
        <f t="shared" si="2"/>
        <v>3.2597714285705508</v>
      </c>
    </row>
    <row r="33" spans="1:10" ht="18.75" x14ac:dyDescent="0.3">
      <c r="A33" s="77">
        <f>Gen!B34</f>
        <v>44554</v>
      </c>
      <c r="B33" s="224">
        <v>75</v>
      </c>
      <c r="C33" s="224">
        <v>0</v>
      </c>
      <c r="D33" s="224">
        <v>0</v>
      </c>
      <c r="E33" s="793"/>
      <c r="F33" s="795">
        <v>82069.58</v>
      </c>
      <c r="G33" s="781">
        <f t="shared" si="1"/>
        <v>117.92000000001282</v>
      </c>
      <c r="H33" s="94">
        <f>Gen!C34</f>
        <v>0.47</v>
      </c>
      <c r="I33" s="666">
        <v>88</v>
      </c>
      <c r="J33" s="667">
        <f t="shared" si="2"/>
        <v>1.3400000000001457</v>
      </c>
    </row>
    <row r="34" spans="1:10" ht="18.75" x14ac:dyDescent="0.3">
      <c r="A34" s="77">
        <f>Gen!B35</f>
        <v>44555</v>
      </c>
      <c r="B34" s="224">
        <v>72</v>
      </c>
      <c r="C34" s="224">
        <v>0</v>
      </c>
      <c r="D34" s="224">
        <v>0</v>
      </c>
      <c r="E34" s="793"/>
      <c r="F34" s="795">
        <v>82098.990000000005</v>
      </c>
      <c r="G34" s="781">
        <f t="shared" si="1"/>
        <v>129.40400000001537</v>
      </c>
      <c r="H34" s="94">
        <f>Gen!C35</f>
        <v>0.57999999999999996</v>
      </c>
      <c r="I34" s="666">
        <v>105</v>
      </c>
      <c r="J34" s="667">
        <f t="shared" si="2"/>
        <v>1.2324190476191941</v>
      </c>
    </row>
    <row r="35" spans="1:10" ht="18.75" x14ac:dyDescent="0.3">
      <c r="A35" s="77">
        <f>Gen!B36</f>
        <v>44556</v>
      </c>
      <c r="B35" s="224">
        <v>68</v>
      </c>
      <c r="C35" s="224">
        <v>0</v>
      </c>
      <c r="D35" s="224">
        <v>0</v>
      </c>
      <c r="E35" s="793"/>
      <c r="F35" s="795">
        <v>82125.3</v>
      </c>
      <c r="G35" s="781">
        <f t="shared" si="1"/>
        <v>115.76399999998976</v>
      </c>
      <c r="H35" s="94">
        <f>Gen!C36</f>
        <v>0.43</v>
      </c>
      <c r="I35" s="666">
        <v>72</v>
      </c>
      <c r="J35" s="667">
        <f t="shared" si="2"/>
        <v>1.6078333333331911</v>
      </c>
    </row>
    <row r="36" spans="1:10" ht="18.75" x14ac:dyDescent="0.3">
      <c r="A36" s="77">
        <f>Gen!B37</f>
        <v>44557</v>
      </c>
      <c r="B36" s="224">
        <v>66</v>
      </c>
      <c r="C36" s="224">
        <v>0</v>
      </c>
      <c r="D36" s="224">
        <v>0</v>
      </c>
      <c r="E36" s="793"/>
      <c r="F36" s="795">
        <v>82154.240000000005</v>
      </c>
      <c r="G36" s="781">
        <f t="shared" si="1"/>
        <v>127.33600000001026</v>
      </c>
      <c r="H36" s="94">
        <f>Gen!C37</f>
        <v>0.39</v>
      </c>
      <c r="I36" s="666">
        <v>76</v>
      </c>
      <c r="J36" s="667">
        <f t="shared" si="2"/>
        <v>1.6754736842106612</v>
      </c>
    </row>
    <row r="37" spans="1:10" ht="18.75" x14ac:dyDescent="0.3">
      <c r="A37" s="77">
        <f>Gen!B38</f>
        <v>44558</v>
      </c>
      <c r="B37" s="224">
        <v>64</v>
      </c>
      <c r="C37" s="224">
        <v>0</v>
      </c>
      <c r="D37" s="224">
        <v>0</v>
      </c>
      <c r="E37" s="793"/>
      <c r="F37" s="795">
        <v>82183.039999999994</v>
      </c>
      <c r="G37" s="781">
        <f t="shared" si="1"/>
        <v>126.71999999994878</v>
      </c>
      <c r="H37" s="94">
        <f>Gen!C38</f>
        <v>0.43</v>
      </c>
      <c r="I37" s="666">
        <v>77</v>
      </c>
      <c r="J37" s="667">
        <f t="shared" si="2"/>
        <v>1.6457142857136207</v>
      </c>
    </row>
    <row r="38" spans="1:10" ht="18.75" x14ac:dyDescent="0.3">
      <c r="A38" s="77">
        <f>Gen!B39</f>
        <v>44559</v>
      </c>
      <c r="B38" s="224">
        <v>60</v>
      </c>
      <c r="C38" s="224">
        <v>0</v>
      </c>
      <c r="D38" s="224">
        <v>0</v>
      </c>
      <c r="E38" s="793"/>
      <c r="F38" s="795">
        <v>82213.81</v>
      </c>
      <c r="G38" s="781">
        <f t="shared" si="1"/>
        <v>135.38800000001794</v>
      </c>
      <c r="H38" s="94">
        <f>Gen!C39</f>
        <v>0.53</v>
      </c>
      <c r="I38" s="666">
        <v>93</v>
      </c>
      <c r="J38" s="667">
        <f t="shared" si="2"/>
        <v>1.455784946236752</v>
      </c>
    </row>
    <row r="39" spans="1:10" ht="18.75" x14ac:dyDescent="0.3">
      <c r="A39" s="77">
        <f>Gen!B40</f>
        <v>44560</v>
      </c>
      <c r="B39" s="224">
        <v>56</v>
      </c>
      <c r="C39" s="224">
        <v>0</v>
      </c>
      <c r="D39" s="224">
        <v>0</v>
      </c>
      <c r="E39" s="793"/>
      <c r="F39" s="795">
        <v>82249.56</v>
      </c>
      <c r="G39" s="781">
        <f t="shared" si="1"/>
        <v>157.30000000000001</v>
      </c>
      <c r="H39" s="94">
        <f>Gen!C40</f>
        <v>0.61</v>
      </c>
      <c r="I39" s="666">
        <v>110</v>
      </c>
      <c r="J39" s="667">
        <f t="shared" si="2"/>
        <v>1.4300000000000002</v>
      </c>
    </row>
    <row r="40" spans="1:10" ht="18.75" x14ac:dyDescent="0.3">
      <c r="A40" s="77">
        <f>Gen!B41</f>
        <v>44561</v>
      </c>
      <c r="B40" s="224">
        <v>53</v>
      </c>
      <c r="C40" s="224">
        <v>0</v>
      </c>
      <c r="D40" s="224">
        <v>0</v>
      </c>
      <c r="E40" s="793"/>
      <c r="F40" s="795">
        <v>82286.61</v>
      </c>
      <c r="G40" s="781">
        <f t="shared" si="1"/>
        <v>163.02000000001283</v>
      </c>
      <c r="H40" s="94">
        <f>Gen!C41</f>
        <v>0.61</v>
      </c>
      <c r="I40" s="666">
        <v>120</v>
      </c>
      <c r="J40" s="667">
        <f t="shared" si="2"/>
        <v>1.3585000000001068</v>
      </c>
    </row>
    <row r="41" spans="1:10" ht="17.25" x14ac:dyDescent="0.3">
      <c r="A41" s="77"/>
      <c r="B41" s="5"/>
      <c r="C41" s="970" t="s">
        <v>241</v>
      </c>
      <c r="D41" s="970"/>
      <c r="E41" s="2">
        <f>SUM(E10:E40)</f>
        <v>0</v>
      </c>
      <c r="F41" s="2">
        <f ca="1">SUM(F10:F41)</f>
        <v>2538412.0100000007</v>
      </c>
      <c r="G41" s="84">
        <f>SUM(G10:G40)</f>
        <v>3330.3599999999747</v>
      </c>
      <c r="H41" s="94">
        <f>Gen!C43</f>
        <v>0</v>
      </c>
      <c r="I41" s="666"/>
      <c r="J41" s="667" t="e">
        <f>SUM(G41/I41)</f>
        <v>#DIV/0!</v>
      </c>
    </row>
    <row r="43" spans="1:10" x14ac:dyDescent="0.2">
      <c r="B43" s="976"/>
      <c r="C43" s="976"/>
      <c r="D43" s="977"/>
      <c r="E43" s="977"/>
      <c r="F43" s="977"/>
      <c r="G43" s="978"/>
      <c r="H43" s="978"/>
    </row>
    <row r="44" spans="1:10" x14ac:dyDescent="0.2">
      <c r="B44" s="976"/>
      <c r="C44" s="976"/>
      <c r="D44" s="977"/>
      <c r="E44" s="977"/>
      <c r="F44" s="977"/>
      <c r="G44" s="978"/>
      <c r="H44" s="978"/>
    </row>
    <row r="45" spans="1:10" ht="12.75" customHeight="1" x14ac:dyDescent="0.2">
      <c r="B45" s="976"/>
      <c r="C45" s="976"/>
      <c r="D45" s="977"/>
      <c r="E45" s="977"/>
      <c r="F45" s="977"/>
      <c r="G45" s="978"/>
      <c r="H45" s="978"/>
      <c r="J45" s="661"/>
    </row>
    <row r="46" spans="1:10" ht="12.75" customHeight="1" x14ac:dyDescent="0.2">
      <c r="B46" s="976"/>
      <c r="C46" s="976"/>
      <c r="D46" s="977"/>
      <c r="E46" s="977"/>
      <c r="F46" s="977"/>
      <c r="G46" s="978"/>
      <c r="H46" s="978"/>
      <c r="J46" s="661"/>
    </row>
    <row r="47" spans="1:10" x14ac:dyDescent="0.2">
      <c r="B47" s="976"/>
      <c r="C47" s="976"/>
      <c r="D47" s="977"/>
      <c r="E47" s="977"/>
      <c r="F47" s="977"/>
      <c r="G47" s="978"/>
      <c r="H47" s="978"/>
      <c r="J47" s="661"/>
    </row>
    <row r="48" spans="1:10" x14ac:dyDescent="0.2">
      <c r="B48" s="976"/>
      <c r="C48" s="976"/>
      <c r="D48" s="977"/>
      <c r="E48" s="977"/>
      <c r="F48" s="977"/>
      <c r="G48" s="978"/>
      <c r="H48" s="978"/>
      <c r="J48" s="661"/>
    </row>
    <row r="49" spans="2:10" x14ac:dyDescent="0.2">
      <c r="B49" s="976"/>
      <c r="C49" s="976"/>
      <c r="D49" s="977"/>
      <c r="E49" s="977"/>
      <c r="F49" s="977"/>
      <c r="G49" s="978"/>
      <c r="H49" s="978"/>
      <c r="J49" s="661"/>
    </row>
    <row r="50" spans="2:10" x14ac:dyDescent="0.2">
      <c r="B50" s="976"/>
      <c r="C50" s="976"/>
      <c r="D50" s="977"/>
      <c r="E50" s="977"/>
      <c r="F50" s="977"/>
      <c r="G50" s="978"/>
      <c r="H50" s="978"/>
      <c r="J50" s="661"/>
    </row>
    <row r="51" spans="2:10" x14ac:dyDescent="0.2">
      <c r="B51" s="976"/>
      <c r="C51" s="976"/>
      <c r="D51" s="977"/>
      <c r="E51" s="977"/>
      <c r="F51" s="977"/>
      <c r="G51" s="978"/>
      <c r="H51" s="978"/>
      <c r="J51" s="661"/>
    </row>
    <row r="52" spans="2:10" x14ac:dyDescent="0.2">
      <c r="B52" s="976"/>
      <c r="C52" s="976"/>
      <c r="D52" s="977"/>
      <c r="E52" s="977"/>
      <c r="F52" s="977"/>
      <c r="G52" s="978"/>
      <c r="H52" s="978"/>
      <c r="J52" s="661"/>
    </row>
    <row r="53" spans="2:10" x14ac:dyDescent="0.2">
      <c r="B53" s="976"/>
      <c r="C53" s="976"/>
      <c r="D53" s="977"/>
      <c r="E53" s="977"/>
      <c r="F53" s="977"/>
      <c r="G53" s="978"/>
      <c r="H53" s="978"/>
      <c r="J53" s="661"/>
    </row>
    <row r="54" spans="2:10" x14ac:dyDescent="0.2">
      <c r="B54" s="976"/>
      <c r="C54" s="976"/>
      <c r="D54" s="977"/>
      <c r="E54" s="977"/>
      <c r="F54" s="977"/>
      <c r="G54" s="978"/>
      <c r="H54" s="978"/>
      <c r="J54" s="661"/>
    </row>
    <row r="55" spans="2:10" x14ac:dyDescent="0.2">
      <c r="B55" s="976"/>
      <c r="C55" s="976"/>
      <c r="D55" s="977"/>
      <c r="E55" s="977"/>
      <c r="F55" s="977"/>
      <c r="G55" s="978"/>
      <c r="H55" s="978"/>
    </row>
    <row r="56" spans="2:10" x14ac:dyDescent="0.2">
      <c r="G56"/>
    </row>
    <row r="57" spans="2:10" x14ac:dyDescent="0.2">
      <c r="G57"/>
    </row>
    <row r="58" spans="2:10" x14ac:dyDescent="0.2">
      <c r="G58"/>
    </row>
    <row r="59" spans="2:10" x14ac:dyDescent="0.2">
      <c r="G59"/>
    </row>
    <row r="60" spans="2:10" x14ac:dyDescent="0.2">
      <c r="G60"/>
    </row>
    <row r="61" spans="2:10" x14ac:dyDescent="0.2">
      <c r="G61"/>
    </row>
    <row r="62" spans="2:10" x14ac:dyDescent="0.2">
      <c r="G62"/>
    </row>
    <row r="63" spans="2:10" x14ac:dyDescent="0.2">
      <c r="G63"/>
    </row>
  </sheetData>
  <mergeCells count="7">
    <mergeCell ref="G43:H55"/>
    <mergeCell ref="C41:D41"/>
    <mergeCell ref="C6:D6"/>
    <mergeCell ref="E6:F6"/>
    <mergeCell ref="A7:A8"/>
    <mergeCell ref="B43:C55"/>
    <mergeCell ref="D43:F55"/>
  </mergeCells>
  <pageMargins left="0.75" right="0.75" top="1" bottom="1" header="0.5" footer="0.5"/>
  <pageSetup scale="53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9"/>
  <sheetViews>
    <sheetView topLeftCell="A19" workbookViewId="0">
      <selection activeCell="G11" sqref="G11"/>
    </sheetView>
  </sheetViews>
  <sheetFormatPr defaultRowHeight="12.75" x14ac:dyDescent="0.2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.7109375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x14ac:dyDescent="0.2">
      <c r="A1" s="979">
        <f>A5</f>
        <v>44531</v>
      </c>
      <c r="B1" s="979"/>
      <c r="C1" s="979"/>
      <c r="D1" s="979"/>
      <c r="E1" s="979"/>
      <c r="F1" s="979"/>
      <c r="G1" s="979"/>
      <c r="H1" s="979"/>
      <c r="I1" s="979"/>
      <c r="J1" s="979"/>
      <c r="K1" s="979"/>
      <c r="L1" s="979"/>
    </row>
    <row r="2" spans="1:13" x14ac:dyDescent="0.2">
      <c r="A2" s="980"/>
      <c r="B2" s="980"/>
      <c r="C2" s="980"/>
      <c r="D2" s="980"/>
      <c r="E2" s="980"/>
      <c r="F2" s="980"/>
      <c r="G2" s="980"/>
      <c r="H2" s="980"/>
      <c r="I2" s="980"/>
      <c r="J2" s="980"/>
      <c r="K2" s="980"/>
      <c r="L2" s="980"/>
    </row>
    <row r="3" spans="1:13" ht="50.25" customHeight="1" thickBot="1" x14ac:dyDescent="0.25">
      <c r="A3" s="529"/>
      <c r="B3" s="530"/>
      <c r="C3" s="61"/>
      <c r="D3" s="61"/>
      <c r="E3" s="61"/>
      <c r="F3" s="61"/>
      <c r="G3" s="61"/>
      <c r="H3" s="61"/>
      <c r="I3" s="61"/>
      <c r="J3" s="61"/>
      <c r="K3" s="61"/>
      <c r="L3" s="531"/>
    </row>
    <row r="4" spans="1:13" s="40" customFormat="1" ht="50.25" customHeight="1" x14ac:dyDescent="0.2">
      <c r="A4" s="532" t="s">
        <v>31</v>
      </c>
      <c r="B4" s="533" t="s">
        <v>242</v>
      </c>
      <c r="C4" s="534" t="s">
        <v>243</v>
      </c>
      <c r="D4" s="535" t="s">
        <v>244</v>
      </c>
      <c r="E4" s="535" t="s">
        <v>245</v>
      </c>
      <c r="F4" s="535" t="s">
        <v>246</v>
      </c>
      <c r="G4" s="535" t="s">
        <v>247</v>
      </c>
      <c r="H4" s="535" t="s">
        <v>248</v>
      </c>
      <c r="I4" s="535" t="s">
        <v>249</v>
      </c>
      <c r="J4" s="535" t="s">
        <v>250</v>
      </c>
      <c r="K4" s="535" t="s">
        <v>251</v>
      </c>
      <c r="L4" s="536" t="s">
        <v>252</v>
      </c>
    </row>
    <row r="5" spans="1:13" x14ac:dyDescent="0.2">
      <c r="A5" s="526">
        <f>Gen!B11</f>
        <v>44531</v>
      </c>
      <c r="B5" s="514">
        <f>'Daily report Gen'!Z6</f>
        <v>30</v>
      </c>
      <c r="C5" s="70">
        <f>Gen!C11</f>
        <v>5.1900000000000002E-2</v>
      </c>
      <c r="D5" s="515">
        <f>E5</f>
        <v>6</v>
      </c>
      <c r="E5" s="337">
        <v>6</v>
      </c>
      <c r="F5" s="691">
        <f>Gen!U11</f>
        <v>3130</v>
      </c>
      <c r="G5" s="689">
        <f>Gen!T11</f>
        <v>1340.69</v>
      </c>
      <c r="H5" s="689">
        <f>Gen!AK11</f>
        <v>55.309999999999995</v>
      </c>
      <c r="I5" s="718">
        <f>SUM(G5:H5)</f>
        <v>1396</v>
      </c>
      <c r="J5" s="516">
        <f>Gen!D11</f>
        <v>43219.56</v>
      </c>
      <c r="K5" s="517">
        <f>'Water-Meter'!E6</f>
        <v>79</v>
      </c>
      <c r="L5" s="518">
        <f>'Lpg (2)'!G10</f>
        <v>101.24399999997696</v>
      </c>
      <c r="M5" s="63" t="e">
        <f>SUM(#REF!-#REF!)</f>
        <v>#REF!</v>
      </c>
    </row>
    <row r="6" spans="1:13" x14ac:dyDescent="0.2">
      <c r="A6" s="527">
        <f>Gen!B12</f>
        <v>44532</v>
      </c>
      <c r="B6" s="519">
        <f>'Daily report Gen'!Z7</f>
        <v>33</v>
      </c>
      <c r="C6" s="70">
        <f>Gen!C12</f>
        <v>0.05</v>
      </c>
      <c r="D6" s="349">
        <f t="shared" ref="D6:D36" si="0">E6</f>
        <v>5</v>
      </c>
      <c r="E6" s="337">
        <v>5</v>
      </c>
      <c r="F6" s="691">
        <f>Gen!U12</f>
        <v>3105</v>
      </c>
      <c r="G6" s="690">
        <f>Gen!T12</f>
        <v>1268.81</v>
      </c>
      <c r="H6" s="690">
        <f>Gen!AK12</f>
        <v>596.04</v>
      </c>
      <c r="I6" s="68">
        <f t="shared" ref="I6:I10" si="1">SUM(G6:H6)</f>
        <v>1864.85</v>
      </c>
      <c r="J6" s="360">
        <f>Gen!D12</f>
        <v>41823.56</v>
      </c>
      <c r="K6" s="244">
        <f>'Water-Meter'!E7</f>
        <v>67</v>
      </c>
      <c r="L6" s="520">
        <f>'Lpg (2)'!G11</f>
        <v>70.311999999982078</v>
      </c>
      <c r="M6" s="63" t="e">
        <f>SUM(#REF!-#REF!)</f>
        <v>#REF!</v>
      </c>
    </row>
    <row r="7" spans="1:13" x14ac:dyDescent="0.2">
      <c r="A7" s="527">
        <f>Gen!B13</f>
        <v>44533</v>
      </c>
      <c r="B7" s="519">
        <f>'Daily report Gen'!Z8</f>
        <v>24</v>
      </c>
      <c r="C7" s="70">
        <f>Gen!C13</f>
        <v>0.05</v>
      </c>
      <c r="D7" s="349">
        <f t="shared" si="0"/>
        <v>3</v>
      </c>
      <c r="E7" s="337">
        <v>3</v>
      </c>
      <c r="F7" s="691">
        <f>Gen!U13</f>
        <v>2910</v>
      </c>
      <c r="G7" s="690">
        <f>Gen!T13</f>
        <v>1177.17</v>
      </c>
      <c r="H7" s="690">
        <f>Gen!AK13</f>
        <v>0</v>
      </c>
      <c r="I7" s="717">
        <f t="shared" si="1"/>
        <v>1177.17</v>
      </c>
      <c r="J7" s="360">
        <f>Gen!D13</f>
        <v>39958.71</v>
      </c>
      <c r="K7" s="244">
        <f>'Water-Meter'!E8</f>
        <v>83</v>
      </c>
      <c r="L7" s="520">
        <f>'Lpg (2)'!G12</f>
        <v>59.576000000035862</v>
      </c>
      <c r="M7" s="63" t="e">
        <f>SUM(#REF!-#REF!)</f>
        <v>#REF!</v>
      </c>
    </row>
    <row r="8" spans="1:13" x14ac:dyDescent="0.2">
      <c r="A8" s="527">
        <f>Gen!B14</f>
        <v>44534</v>
      </c>
      <c r="B8" s="519">
        <f>'Daily report Gen'!Z9</f>
        <v>25</v>
      </c>
      <c r="C8" s="70">
        <f>Gen!C14</f>
        <v>0.08</v>
      </c>
      <c r="D8" s="349">
        <f>E8</f>
        <v>8</v>
      </c>
      <c r="E8" s="337">
        <v>8</v>
      </c>
      <c r="F8" s="691">
        <f>Gen!U14</f>
        <v>3289</v>
      </c>
      <c r="G8" s="690">
        <f>Gen!T14</f>
        <v>1293.22</v>
      </c>
      <c r="H8" s="690">
        <f>Gen!AK14</f>
        <v>199.51</v>
      </c>
      <c r="I8" s="68">
        <f t="shared" si="1"/>
        <v>1492.73</v>
      </c>
      <c r="J8" s="360">
        <f>Gen!D14</f>
        <v>38781.54</v>
      </c>
      <c r="K8" s="244">
        <f>'Water-Meter'!E9</f>
        <v>67</v>
      </c>
      <c r="L8" s="520">
        <f>'Lpg (2)'!G13</f>
        <v>61.511999999982073</v>
      </c>
      <c r="M8" s="63" t="e">
        <f>SUM(#REF!-#REF!)</f>
        <v>#REF!</v>
      </c>
    </row>
    <row r="9" spans="1:13" x14ac:dyDescent="0.2">
      <c r="A9" s="527">
        <f>Gen!B15</f>
        <v>44535</v>
      </c>
      <c r="B9" s="519">
        <f>'Daily report Gen'!Z10</f>
        <v>25</v>
      </c>
      <c r="C9" s="70">
        <f>Gen!C15</f>
        <v>0.05</v>
      </c>
      <c r="D9" s="349">
        <f t="shared" si="0"/>
        <v>6</v>
      </c>
      <c r="E9" s="337">
        <v>6</v>
      </c>
      <c r="F9" s="691">
        <f>Gen!U15</f>
        <v>3146</v>
      </c>
      <c r="G9" s="690">
        <f>Gen!T15</f>
        <v>1246.93</v>
      </c>
      <c r="H9" s="690">
        <f>Gen!AK15</f>
        <v>53.33</v>
      </c>
      <c r="I9" s="68">
        <f t="shared" si="1"/>
        <v>1300.26</v>
      </c>
      <c r="J9" s="360">
        <f>Gen!D15</f>
        <v>37288.81</v>
      </c>
      <c r="K9" s="244">
        <f>'Water-Meter'!E10</f>
        <v>62</v>
      </c>
      <c r="L9" s="520">
        <f>'Lpg (2)'!G14</f>
        <v>87.340000000025611</v>
      </c>
      <c r="M9" s="63" t="e">
        <f>SUM(#REF!-#REF!)</f>
        <v>#REF!</v>
      </c>
    </row>
    <row r="10" spans="1:13" x14ac:dyDescent="0.2">
      <c r="A10" s="527">
        <f>Gen!B16</f>
        <v>44536</v>
      </c>
      <c r="B10" s="519">
        <f>'Daily report Gen'!Z11</f>
        <v>24</v>
      </c>
      <c r="C10" s="70">
        <f>Gen!C16</f>
        <v>7.7899999999999997E-2</v>
      </c>
      <c r="D10" s="349">
        <f t="shared" si="0"/>
        <v>9</v>
      </c>
      <c r="E10" s="337">
        <v>9</v>
      </c>
      <c r="F10" s="691">
        <f>Gen!U16</f>
        <v>3361</v>
      </c>
      <c r="G10" s="690">
        <f>Gen!T16</f>
        <v>1325.89</v>
      </c>
      <c r="H10" s="690">
        <f>Gen!AK16</f>
        <v>67.400000000000006</v>
      </c>
      <c r="I10" s="68">
        <f t="shared" si="1"/>
        <v>1393.2900000000002</v>
      </c>
      <c r="J10" s="360">
        <f>Gen!D16</f>
        <v>35988.549999999996</v>
      </c>
      <c r="K10" s="244">
        <f>'Water-Meter'!E11</f>
        <v>57</v>
      </c>
      <c r="L10" s="520">
        <f>'Lpg (2)'!G15</f>
        <v>107.49199999996928</v>
      </c>
      <c r="M10" s="63" t="e">
        <f>SUM(#REF!-#REF!)</f>
        <v>#REF!</v>
      </c>
    </row>
    <row r="11" spans="1:13" x14ac:dyDescent="0.2">
      <c r="A11" s="527">
        <f>Gen!B17</f>
        <v>44537</v>
      </c>
      <c r="B11" s="519">
        <f>'Daily report Gen'!Z12</f>
        <v>24</v>
      </c>
      <c r="C11" s="70">
        <f>Gen!C17</f>
        <v>7.7899999999999997E-2</v>
      </c>
      <c r="D11" s="349">
        <f>E11</f>
        <v>9</v>
      </c>
      <c r="E11" s="337">
        <v>9</v>
      </c>
      <c r="F11" s="691">
        <f>Gen!U17</f>
        <v>3380</v>
      </c>
      <c r="G11" s="690">
        <f>Gen!T17</f>
        <v>1368.94</v>
      </c>
      <c r="H11" s="690">
        <f>Gen!AK17</f>
        <v>135.94</v>
      </c>
      <c r="I11" s="68">
        <f t="shared" ref="I11:I36" si="2">SUM(G11:H11)</f>
        <v>1504.88</v>
      </c>
      <c r="J11" s="360">
        <f>Gen!D17</f>
        <v>34595.259999999995</v>
      </c>
      <c r="K11" s="244">
        <f>'Water-Meter'!E12</f>
        <v>73</v>
      </c>
      <c r="L11" s="520">
        <f>'Lpg (2)'!G16</f>
        <v>90.68400000000257</v>
      </c>
      <c r="M11" s="63" t="e">
        <f>SUM(#REF!-#REF!)</f>
        <v>#REF!</v>
      </c>
    </row>
    <row r="12" spans="1:13" x14ac:dyDescent="0.2">
      <c r="A12" s="527">
        <f>Gen!B18</f>
        <v>44538</v>
      </c>
      <c r="B12" s="519">
        <f>'Daily report Gen'!Z13</f>
        <v>32</v>
      </c>
      <c r="C12" s="70">
        <f>Gen!C18</f>
        <v>0.12</v>
      </c>
      <c r="D12" s="349">
        <f t="shared" si="0"/>
        <v>12</v>
      </c>
      <c r="E12" s="337">
        <v>12</v>
      </c>
      <c r="F12" s="691">
        <f>Gen!U18</f>
        <v>3662</v>
      </c>
      <c r="G12" s="690">
        <f>Gen!T18</f>
        <v>1527.6</v>
      </c>
      <c r="H12" s="690">
        <f>Gen!AK18</f>
        <v>83.59</v>
      </c>
      <c r="I12" s="68">
        <f t="shared" si="2"/>
        <v>1611.1899999999998</v>
      </c>
      <c r="J12" s="360">
        <f>Gen!D18</f>
        <v>33090.379999999997</v>
      </c>
      <c r="K12" s="244">
        <f>'Water-Meter'!E13</f>
        <v>80</v>
      </c>
      <c r="L12" s="520">
        <f>'Lpg (2)'!G17</f>
        <v>99.879999999987206</v>
      </c>
      <c r="M12" s="63" t="e">
        <f>SUM(#REF!-#REF!)</f>
        <v>#REF!</v>
      </c>
    </row>
    <row r="13" spans="1:13" x14ac:dyDescent="0.2">
      <c r="A13" s="527">
        <f>Gen!B19</f>
        <v>44539</v>
      </c>
      <c r="B13" s="519">
        <f>'Daily report Gen'!Z14</f>
        <v>25</v>
      </c>
      <c r="C13" s="70">
        <f>Gen!C19</f>
        <v>0.09</v>
      </c>
      <c r="D13" s="349">
        <f t="shared" si="0"/>
        <v>10</v>
      </c>
      <c r="E13" s="337">
        <v>10</v>
      </c>
      <c r="F13" s="691">
        <f>Gen!U19</f>
        <v>3399</v>
      </c>
      <c r="G13" s="690">
        <f>Gen!T19</f>
        <v>1371.66</v>
      </c>
      <c r="H13" s="690">
        <f>Gen!AK19</f>
        <v>51.98</v>
      </c>
      <c r="I13" s="68">
        <f t="shared" si="2"/>
        <v>1423.64</v>
      </c>
      <c r="J13" s="360">
        <f>Gen!D19</f>
        <v>31479.19</v>
      </c>
      <c r="K13" s="244">
        <f>'Water-Meter'!E14</f>
        <v>65</v>
      </c>
      <c r="L13" s="520">
        <f>'Lpg (2)'!G18</f>
        <v>108.98800000001793</v>
      </c>
      <c r="M13" s="63" t="e">
        <f>SUM(#REF!-#REF!)</f>
        <v>#REF!</v>
      </c>
    </row>
    <row r="14" spans="1:13" x14ac:dyDescent="0.2">
      <c r="A14" s="527">
        <f>Gen!B20</f>
        <v>44540</v>
      </c>
      <c r="B14" s="519">
        <f>'Daily report Gen'!Z15</f>
        <v>25</v>
      </c>
      <c r="C14" s="70">
        <f>Gen!C20</f>
        <v>0.12</v>
      </c>
      <c r="D14" s="349">
        <f t="shared" si="0"/>
        <v>12</v>
      </c>
      <c r="E14" s="337">
        <v>12</v>
      </c>
      <c r="F14" s="691">
        <f>Gen!U20</f>
        <v>3440</v>
      </c>
      <c r="G14" s="690">
        <f>Gen!T20</f>
        <v>1347.33</v>
      </c>
      <c r="H14" s="690">
        <f>Gen!AK20</f>
        <v>448.65</v>
      </c>
      <c r="I14" s="68">
        <f t="shared" si="2"/>
        <v>1795.98</v>
      </c>
      <c r="J14" s="360">
        <f>Gen!D20</f>
        <v>30055.55</v>
      </c>
      <c r="K14" s="244">
        <f>'Water-Meter'!E15</f>
        <v>71</v>
      </c>
      <c r="L14" s="520">
        <f>'Lpg (2)'!G19</f>
        <v>110.00000000000001</v>
      </c>
      <c r="M14" s="63" t="e">
        <f>SUM(#REF!-#REF!)</f>
        <v>#REF!</v>
      </c>
    </row>
    <row r="15" spans="1:13" x14ac:dyDescent="0.2">
      <c r="A15" s="527">
        <f>Gen!B21</f>
        <v>44541</v>
      </c>
      <c r="B15" s="519">
        <f>'Daily report Gen'!Z16</f>
        <v>42</v>
      </c>
      <c r="C15" s="70">
        <f>Gen!C21</f>
        <v>0.12</v>
      </c>
      <c r="D15" s="349">
        <f t="shared" si="0"/>
        <v>12</v>
      </c>
      <c r="E15" s="337">
        <v>12</v>
      </c>
      <c r="F15" s="691">
        <f>Gen!U21</f>
        <v>3696</v>
      </c>
      <c r="G15" s="690">
        <f>Gen!T21</f>
        <v>1512.79</v>
      </c>
      <c r="H15" s="690">
        <f>Gen!AK21</f>
        <v>37.869999999999997</v>
      </c>
      <c r="I15" s="68">
        <f t="shared" si="2"/>
        <v>1550.6599999999999</v>
      </c>
      <c r="J15" s="360">
        <f>Gen!D21</f>
        <v>28259.57</v>
      </c>
      <c r="K15" s="244">
        <f>'Water-Meter'!E16</f>
        <v>72</v>
      </c>
      <c r="L15" s="520">
        <f>'Lpg (2)'!G20</f>
        <v>105.37999999998721</v>
      </c>
      <c r="M15" s="63" t="e">
        <f>SUM(#REF!-#REF!)</f>
        <v>#REF!</v>
      </c>
    </row>
    <row r="16" spans="1:13" x14ac:dyDescent="0.2">
      <c r="A16" s="527">
        <f>Gen!B22</f>
        <v>44542</v>
      </c>
      <c r="B16" s="519">
        <f>'Daily report Gen'!Z17</f>
        <v>25</v>
      </c>
      <c r="C16" s="70">
        <f>Gen!C22</f>
        <v>0.12</v>
      </c>
      <c r="D16" s="349">
        <f t="shared" si="0"/>
        <v>12</v>
      </c>
      <c r="E16" s="337">
        <v>12</v>
      </c>
      <c r="F16" s="691">
        <f>Gen!U22</f>
        <v>3646</v>
      </c>
      <c r="G16" s="690">
        <f>Gen!T22</f>
        <v>1485.24</v>
      </c>
      <c r="H16" s="690">
        <f>Gen!AK22</f>
        <v>68.16</v>
      </c>
      <c r="I16" s="68">
        <f t="shared" si="2"/>
        <v>1553.4</v>
      </c>
      <c r="J16" s="360">
        <f>Gen!D22</f>
        <v>26708.91</v>
      </c>
      <c r="K16" s="244">
        <f>'Water-Meter'!E17</f>
        <v>65</v>
      </c>
      <c r="L16" s="520">
        <f>'Lpg (2)'!G21</f>
        <v>106.65600000002306</v>
      </c>
      <c r="M16" s="63" t="e">
        <f>SUM(#REF!-#REF!)</f>
        <v>#REF!</v>
      </c>
    </row>
    <row r="17" spans="1:13" x14ac:dyDescent="0.2">
      <c r="A17" s="527">
        <f>Gen!B23</f>
        <v>44543</v>
      </c>
      <c r="B17" s="519">
        <f>'Daily report Gen'!Z18</f>
        <v>30</v>
      </c>
      <c r="C17" s="70">
        <f>Gen!C23</f>
        <v>0.16</v>
      </c>
      <c r="D17" s="349">
        <f t="shared" si="0"/>
        <v>15</v>
      </c>
      <c r="E17" s="337">
        <v>15</v>
      </c>
      <c r="F17" s="691">
        <f>Gen!U23</f>
        <v>3967</v>
      </c>
      <c r="G17" s="690">
        <f>Gen!T23</f>
        <v>1579.63</v>
      </c>
      <c r="H17" s="690">
        <f>Gen!AK23</f>
        <v>103.25</v>
      </c>
      <c r="I17" s="68">
        <f t="shared" si="2"/>
        <v>1682.88</v>
      </c>
      <c r="J17" s="360">
        <f>Gen!D23</f>
        <v>25155.51</v>
      </c>
      <c r="K17" s="244">
        <f>'Water-Meter'!E18</f>
        <v>68</v>
      </c>
      <c r="L17" s="520">
        <f>'Lpg (2)'!G22</f>
        <v>108.02000000001281</v>
      </c>
      <c r="M17" s="63" t="e">
        <f>SUM(#REF!-#REF!)</f>
        <v>#REF!</v>
      </c>
    </row>
    <row r="18" spans="1:13" x14ac:dyDescent="0.2">
      <c r="A18" s="527">
        <f>Gen!B24</f>
        <v>44544</v>
      </c>
      <c r="B18" s="519">
        <f>'Daily report Gen'!Z19</f>
        <v>25</v>
      </c>
      <c r="C18" s="70">
        <f>Gen!C24</f>
        <v>0.17</v>
      </c>
      <c r="D18" s="349">
        <f t="shared" si="0"/>
        <v>16</v>
      </c>
      <c r="E18" s="337">
        <v>16</v>
      </c>
      <c r="F18" s="691">
        <f>Gen!U24</f>
        <v>3411</v>
      </c>
      <c r="G18" s="690">
        <f>Gen!T24</f>
        <v>1342.22</v>
      </c>
      <c r="H18" s="690">
        <f>Gen!AK24</f>
        <v>194.5</v>
      </c>
      <c r="I18" s="68">
        <f t="shared" si="2"/>
        <v>1536.72</v>
      </c>
      <c r="J18" s="360">
        <f>Gen!D24</f>
        <v>41472.629999999997</v>
      </c>
      <c r="K18" s="244">
        <f>'Water-Meter'!E19</f>
        <v>78</v>
      </c>
      <c r="L18" s="520">
        <f>'Lpg (2)'!G23</f>
        <v>103.66399999998977</v>
      </c>
      <c r="M18" s="63" t="e">
        <f>SUM(#REF!-#REF!)</f>
        <v>#REF!</v>
      </c>
    </row>
    <row r="19" spans="1:13" x14ac:dyDescent="0.2">
      <c r="A19" s="527">
        <f>Gen!B25</f>
        <v>44545</v>
      </c>
      <c r="B19" s="519">
        <f>'Daily report Gen'!Z20</f>
        <v>38</v>
      </c>
      <c r="C19" s="70">
        <f>Gen!C25</f>
        <v>0.18</v>
      </c>
      <c r="D19" s="349">
        <f t="shared" si="0"/>
        <v>17</v>
      </c>
      <c r="E19" s="337">
        <v>17</v>
      </c>
      <c r="F19" s="691">
        <f>Gen!U25</f>
        <v>3878</v>
      </c>
      <c r="G19" s="690">
        <f>Gen!T25</f>
        <v>1601.9099999999999</v>
      </c>
      <c r="H19" s="690">
        <f>Gen!AK25</f>
        <v>0</v>
      </c>
      <c r="I19" s="68">
        <f t="shared" si="2"/>
        <v>1601.9099999999999</v>
      </c>
      <c r="J19" s="360">
        <f>Gen!D25</f>
        <v>39935.909999999996</v>
      </c>
      <c r="K19" s="244">
        <f>'Water-Meter'!E20</f>
        <v>72</v>
      </c>
      <c r="L19" s="520">
        <f>'Lpg (2)'!G24</f>
        <v>98.427999999979519</v>
      </c>
      <c r="M19" s="63" t="e">
        <f>SUM(#REF!-#REF!)</f>
        <v>#REF!</v>
      </c>
    </row>
    <row r="20" spans="1:13" x14ac:dyDescent="0.2">
      <c r="A20" s="527">
        <f>Gen!B26</f>
        <v>44546</v>
      </c>
      <c r="B20" s="519">
        <f>'Daily report Gen'!Z21</f>
        <v>26</v>
      </c>
      <c r="C20" s="70">
        <f>Gen!C26</f>
        <v>0.16</v>
      </c>
      <c r="D20" s="349">
        <f t="shared" si="0"/>
        <v>15</v>
      </c>
      <c r="E20" s="337">
        <v>15</v>
      </c>
      <c r="F20" s="691">
        <f>Gen!U26</f>
        <v>3906</v>
      </c>
      <c r="G20" s="690">
        <f>Gen!T26</f>
        <v>1526.57</v>
      </c>
      <c r="H20" s="690">
        <f>Gen!AK26</f>
        <v>176.76</v>
      </c>
      <c r="I20" s="690">
        <f>SUM(G20:H20)</f>
        <v>1703.33</v>
      </c>
      <c r="J20" s="360">
        <f>Gen!D26</f>
        <v>38334</v>
      </c>
      <c r="K20" s="244">
        <f>'Water-Meter'!E21</f>
        <v>73</v>
      </c>
      <c r="L20" s="520">
        <f>'Lpg (2)'!G25</f>
        <v>105.02799999997951</v>
      </c>
      <c r="M20" s="63" t="e">
        <f>SUM(#REF!-#REF!)</f>
        <v>#REF!</v>
      </c>
    </row>
    <row r="21" spans="1:13" x14ac:dyDescent="0.2">
      <c r="A21" s="527">
        <f>Gen!B27</f>
        <v>44547</v>
      </c>
      <c r="B21" s="519">
        <f>'Daily report Gen'!Z22</f>
        <v>25</v>
      </c>
      <c r="C21" s="70">
        <f>Gen!C27</f>
        <v>0.16</v>
      </c>
      <c r="D21" s="349">
        <f t="shared" si="0"/>
        <v>15</v>
      </c>
      <c r="E21" s="337">
        <v>15</v>
      </c>
      <c r="F21" s="691">
        <f>Gen!U27</f>
        <v>3764</v>
      </c>
      <c r="G21" s="690">
        <f>Gen!T27</f>
        <v>1519.37</v>
      </c>
      <c r="H21" s="690">
        <f>Gen!AK27</f>
        <v>115.53</v>
      </c>
      <c r="I21" s="690">
        <f>SUM(G21:H21)</f>
        <v>1634.8999999999999</v>
      </c>
      <c r="J21" s="360">
        <f>Gen!D27</f>
        <v>51630.67</v>
      </c>
      <c r="K21" s="244">
        <f>'Water-Meter'!E22</f>
        <v>73</v>
      </c>
      <c r="L21" s="520">
        <f>'Lpg (2)'!G26</f>
        <v>101.72800000004355</v>
      </c>
      <c r="M21" s="63" t="e">
        <f>SUM(#REF!-#REF!)</f>
        <v>#REF!</v>
      </c>
    </row>
    <row r="22" spans="1:13" x14ac:dyDescent="0.2">
      <c r="A22" s="527">
        <f>Gen!B28</f>
        <v>44548</v>
      </c>
      <c r="B22" s="519">
        <f>'Daily report Gen'!Z23</f>
        <v>24</v>
      </c>
      <c r="C22" s="70">
        <f>Gen!C28</f>
        <v>0.13</v>
      </c>
      <c r="D22" s="349">
        <f t="shared" si="0"/>
        <v>13</v>
      </c>
      <c r="E22" s="337">
        <v>13</v>
      </c>
      <c r="F22" s="691">
        <f>Gen!U28</f>
        <v>3882</v>
      </c>
      <c r="G22" s="690">
        <f>Gen!T28</f>
        <v>1531.62</v>
      </c>
      <c r="H22" s="690">
        <f>Gen!AK28</f>
        <v>347</v>
      </c>
      <c r="I22" s="68">
        <f t="shared" si="2"/>
        <v>1878.62</v>
      </c>
      <c r="J22" s="360">
        <f>Gen!D28</f>
        <v>49995.77</v>
      </c>
      <c r="K22" s="244">
        <f>'Water-Meter'!E23</f>
        <v>85</v>
      </c>
      <c r="L22" s="520">
        <f>'Lpg (2)'!G27</f>
        <v>107.27199999995646</v>
      </c>
      <c r="M22" s="63" t="e">
        <f>SUM(#REF!-#REF!)</f>
        <v>#REF!</v>
      </c>
    </row>
    <row r="23" spans="1:13" x14ac:dyDescent="0.2">
      <c r="A23" s="527">
        <f>Gen!B29</f>
        <v>44549</v>
      </c>
      <c r="B23" s="519">
        <f>'Daily report Gen'!Z24</f>
        <v>33</v>
      </c>
      <c r="C23" s="70">
        <f>Gen!C29</f>
        <v>0.12</v>
      </c>
      <c r="D23" s="349">
        <f t="shared" si="0"/>
        <v>10</v>
      </c>
      <c r="E23" s="337">
        <v>10</v>
      </c>
      <c r="F23" s="691">
        <f>Gen!U29</f>
        <v>3745</v>
      </c>
      <c r="G23" s="690">
        <f>Gen!T29</f>
        <v>1590.6599999999999</v>
      </c>
      <c r="H23" s="690">
        <f>Gen!AK29</f>
        <v>28.9</v>
      </c>
      <c r="I23" s="68">
        <f t="shared" si="2"/>
        <v>1619.56</v>
      </c>
      <c r="J23" s="360">
        <f>Gen!D29</f>
        <v>48117.149999999994</v>
      </c>
      <c r="K23" s="244">
        <f>'Water-Meter'!E24</f>
        <v>80</v>
      </c>
      <c r="L23" s="520">
        <f>'Lpg (2)'!G28</f>
        <v>94.468000000005134</v>
      </c>
      <c r="M23" s="63" t="e">
        <f>SUM(#REF!-#REF!)</f>
        <v>#REF!</v>
      </c>
    </row>
    <row r="24" spans="1:13" x14ac:dyDescent="0.2">
      <c r="A24" s="527">
        <f>Gen!B30</f>
        <v>44550</v>
      </c>
      <c r="B24" s="519">
        <f>'Daily report Gen'!Z25</f>
        <v>24</v>
      </c>
      <c r="C24" s="70">
        <f>Gen!C30</f>
        <v>0.06</v>
      </c>
      <c r="D24" s="349">
        <f t="shared" si="0"/>
        <v>6</v>
      </c>
      <c r="E24" s="337">
        <v>6</v>
      </c>
      <c r="F24" s="691">
        <f>Gen!U30</f>
        <v>3257</v>
      </c>
      <c r="G24" s="690">
        <f>Gen!T30</f>
        <v>1280.58</v>
      </c>
      <c r="H24" s="690">
        <f>Gen!AK30</f>
        <v>248.49</v>
      </c>
      <c r="I24" s="68">
        <f t="shared" si="2"/>
        <v>1529.07</v>
      </c>
      <c r="J24" s="360">
        <f>Gen!D30</f>
        <v>46497.59</v>
      </c>
      <c r="K24" s="244">
        <f>'Water-Meter'!E25</f>
        <v>76</v>
      </c>
      <c r="L24" s="520">
        <f>'Lpg (2)'!G29</f>
        <v>87.868000000005125</v>
      </c>
      <c r="M24" s="63" t="e">
        <f>SUM(#REF!-#REF!)</f>
        <v>#REF!</v>
      </c>
    </row>
    <row r="25" spans="1:13" x14ac:dyDescent="0.2">
      <c r="A25" s="527">
        <f>Gen!B31</f>
        <v>44551</v>
      </c>
      <c r="B25" s="519">
        <f>'Daily report Gen'!Z26</f>
        <v>39</v>
      </c>
      <c r="C25" s="70">
        <f>Gen!C31</f>
        <v>0.1</v>
      </c>
      <c r="D25" s="349">
        <f t="shared" si="0"/>
        <v>9</v>
      </c>
      <c r="E25" s="337">
        <v>9</v>
      </c>
      <c r="F25" s="691">
        <f>Gen!U31</f>
        <v>4495</v>
      </c>
      <c r="G25" s="690">
        <f>Gen!T31</f>
        <v>1850.97</v>
      </c>
      <c r="H25" s="690">
        <f>Gen!AK31</f>
        <v>81</v>
      </c>
      <c r="I25" s="68">
        <f t="shared" si="2"/>
        <v>1931.97</v>
      </c>
      <c r="J25" s="360">
        <f>Gen!D31</f>
        <v>44968.52</v>
      </c>
      <c r="K25" s="244">
        <f>'Water-Meter'!E26</f>
        <v>69</v>
      </c>
      <c r="L25" s="520">
        <f>'Lpg (2)'!G30</f>
        <v>113.43199999999489</v>
      </c>
      <c r="M25" s="63" t="e">
        <f>SUM(#REF!-#REF!)</f>
        <v>#REF!</v>
      </c>
    </row>
    <row r="26" spans="1:13" x14ac:dyDescent="0.2">
      <c r="A26" s="527">
        <f>Gen!B32</f>
        <v>44552</v>
      </c>
      <c r="B26" s="519">
        <f>'Daily report Gen'!Z27</f>
        <v>35</v>
      </c>
      <c r="C26" s="70">
        <f>Gen!C32</f>
        <v>0.17</v>
      </c>
      <c r="D26" s="349">
        <f t="shared" si="0"/>
        <v>14</v>
      </c>
      <c r="E26" s="337">
        <v>14</v>
      </c>
      <c r="F26" s="691">
        <f>Gen!U32</f>
        <v>3996</v>
      </c>
      <c r="G26" s="690">
        <f>Gen!T32</f>
        <v>1693.83</v>
      </c>
      <c r="H26" s="690">
        <f>Gen!AK32</f>
        <v>289.43</v>
      </c>
      <c r="I26" s="68">
        <f t="shared" si="2"/>
        <v>1983.26</v>
      </c>
      <c r="J26" s="360">
        <f>Gen!D32</f>
        <v>43036.549999999996</v>
      </c>
      <c r="K26" s="244">
        <f>'Water-Meter'!E27</f>
        <v>71</v>
      </c>
      <c r="L26" s="520">
        <f>'Lpg (2)'!G31</f>
        <v>114.44400000004099</v>
      </c>
      <c r="M26" s="63" t="e">
        <f>SUM(#REF!-#REF!)</f>
        <v>#REF!</v>
      </c>
    </row>
    <row r="27" spans="1:13" x14ac:dyDescent="0.2">
      <c r="A27" s="527">
        <f>Gen!B33</f>
        <v>44553</v>
      </c>
      <c r="B27" s="519">
        <f>'Daily report Gen'!Z28</f>
        <v>38</v>
      </c>
      <c r="C27" s="70">
        <f>Gen!C33</f>
        <v>0.17</v>
      </c>
      <c r="D27" s="349">
        <f t="shared" si="0"/>
        <v>14</v>
      </c>
      <c r="E27" s="337">
        <v>14</v>
      </c>
      <c r="F27" s="691">
        <f>Gen!U33</f>
        <v>4192</v>
      </c>
      <c r="G27" s="690">
        <f>Gen!T33</f>
        <v>1680.85</v>
      </c>
      <c r="H27" s="690">
        <f>Gen!AK33</f>
        <v>122.64</v>
      </c>
      <c r="I27" s="68">
        <f t="shared" si="2"/>
        <v>1803.49</v>
      </c>
      <c r="J27" s="360">
        <f>Gen!D33</f>
        <v>41053.289999999994</v>
      </c>
      <c r="K27" s="244">
        <f>'Water-Meter'!E28</f>
        <v>85</v>
      </c>
      <c r="L27" s="520">
        <f>'Lpg (2)'!G32</f>
        <v>114.09199999996927</v>
      </c>
      <c r="M27" s="63" t="e">
        <f>SUM(#REF!-#REF!)</f>
        <v>#REF!</v>
      </c>
    </row>
    <row r="28" spans="1:13" x14ac:dyDescent="0.2">
      <c r="A28" s="527">
        <f>Gen!B34</f>
        <v>44554</v>
      </c>
      <c r="B28" s="519">
        <f>'Daily report Gen'!Z29</f>
        <v>38</v>
      </c>
      <c r="C28" s="70">
        <f>Gen!C34</f>
        <v>0.47</v>
      </c>
      <c r="D28" s="349">
        <f t="shared" si="0"/>
        <v>37</v>
      </c>
      <c r="E28" s="337">
        <v>37</v>
      </c>
      <c r="F28" s="691">
        <f>Gen!U34</f>
        <v>4947</v>
      </c>
      <c r="G28" s="690">
        <f>Gen!T34</f>
        <v>2112.66</v>
      </c>
      <c r="H28" s="690">
        <f>Gen!AK34</f>
        <v>0</v>
      </c>
      <c r="I28" s="68">
        <f t="shared" si="2"/>
        <v>2112.66</v>
      </c>
      <c r="J28" s="360">
        <f>Gen!D34</f>
        <v>39249.799999999996</v>
      </c>
      <c r="K28" s="244">
        <f>'Water-Meter'!E29</f>
        <v>75</v>
      </c>
      <c r="L28" s="520">
        <f>'Lpg (2)'!G33</f>
        <v>117.92000000001282</v>
      </c>
      <c r="M28" s="63" t="e">
        <f>SUM(#REF!-#REF!)</f>
        <v>#REF!</v>
      </c>
    </row>
    <row r="29" spans="1:13" x14ac:dyDescent="0.2">
      <c r="A29" s="527">
        <f>Gen!B35</f>
        <v>44555</v>
      </c>
      <c r="B29" s="519">
        <f>'Daily report Gen'!Z30</f>
        <v>41</v>
      </c>
      <c r="C29" s="70">
        <f>Gen!C35</f>
        <v>0.57999999999999996</v>
      </c>
      <c r="D29" s="349">
        <f t="shared" si="0"/>
        <v>46</v>
      </c>
      <c r="E29" s="337">
        <v>46</v>
      </c>
      <c r="F29" s="691">
        <f>Gen!U35</f>
        <v>4917</v>
      </c>
      <c r="G29" s="690">
        <f>Gen!T35</f>
        <v>2005.49</v>
      </c>
      <c r="H29" s="690">
        <f>Gen!AK35</f>
        <v>35.200000000000003</v>
      </c>
      <c r="I29" s="68">
        <f t="shared" si="2"/>
        <v>2040.69</v>
      </c>
      <c r="J29" s="360">
        <f>Gen!D35</f>
        <v>37137.14</v>
      </c>
      <c r="K29" s="244">
        <f>'Water-Meter'!E30</f>
        <v>102</v>
      </c>
      <c r="L29" s="520">
        <f>'Lpg (2)'!G34</f>
        <v>129.40400000001537</v>
      </c>
      <c r="M29" s="63" t="e">
        <f>SUM(#REF!-#REF!)</f>
        <v>#REF!</v>
      </c>
    </row>
    <row r="30" spans="1:13" x14ac:dyDescent="0.2">
      <c r="A30" s="527">
        <f>Gen!B36</f>
        <v>44556</v>
      </c>
      <c r="B30" s="519">
        <f>'Daily report Gen'!Z31</f>
        <v>42</v>
      </c>
      <c r="C30" s="70">
        <f>Gen!C36</f>
        <v>0.43</v>
      </c>
      <c r="D30" s="349">
        <f t="shared" si="0"/>
        <v>35</v>
      </c>
      <c r="E30" s="337">
        <v>35</v>
      </c>
      <c r="F30" s="691">
        <f>Gen!U36</f>
        <v>4944</v>
      </c>
      <c r="G30" s="690">
        <f>Gen!T36</f>
        <v>2169.16</v>
      </c>
      <c r="H30" s="690">
        <f>Gen!AK36</f>
        <v>280.98</v>
      </c>
      <c r="I30" s="68">
        <f t="shared" si="2"/>
        <v>2450.14</v>
      </c>
      <c r="J30" s="360">
        <f>Gen!D36</f>
        <v>35096.449999999997</v>
      </c>
      <c r="K30" s="244">
        <f>'Water-Meter'!E31</f>
        <v>106</v>
      </c>
      <c r="L30" s="520">
        <f>'Lpg (2)'!G35</f>
        <v>115.76399999998976</v>
      </c>
      <c r="M30" s="63" t="e">
        <f>SUM(#REF!-#REF!)</f>
        <v>#REF!</v>
      </c>
    </row>
    <row r="31" spans="1:13" x14ac:dyDescent="0.2">
      <c r="A31" s="527">
        <f>Gen!B37</f>
        <v>44557</v>
      </c>
      <c r="B31" s="519">
        <f>'Daily report Gen'!Z32</f>
        <v>40</v>
      </c>
      <c r="C31" s="70">
        <f>Gen!C37</f>
        <v>0.39</v>
      </c>
      <c r="D31" s="349">
        <f t="shared" si="0"/>
        <v>31</v>
      </c>
      <c r="E31" s="337">
        <v>31</v>
      </c>
      <c r="F31" s="691">
        <f>Gen!U37</f>
        <v>5000</v>
      </c>
      <c r="G31" s="690">
        <f>Gen!T37</f>
        <v>2028.79</v>
      </c>
      <c r="H31" s="690">
        <f>Gen!AK37</f>
        <v>49.66</v>
      </c>
      <c r="I31" s="68">
        <f t="shared" si="2"/>
        <v>2078.4499999999998</v>
      </c>
      <c r="J31" s="360">
        <f>Gen!D37</f>
        <v>32646.309999999998</v>
      </c>
      <c r="K31" s="244">
        <f>'Water-Meter'!E32</f>
        <v>102</v>
      </c>
      <c r="L31" s="520">
        <f>'Lpg (2)'!G36</f>
        <v>127.33600000001026</v>
      </c>
      <c r="M31" s="63" t="e">
        <f>SUM(#REF!-#REF!)</f>
        <v>#REF!</v>
      </c>
    </row>
    <row r="32" spans="1:13" x14ac:dyDescent="0.2">
      <c r="A32" s="527">
        <f>Gen!B38</f>
        <v>44558</v>
      </c>
      <c r="B32" s="519">
        <f>'Daily report Gen'!Z33</f>
        <v>39</v>
      </c>
      <c r="C32" s="70">
        <f>Gen!C38</f>
        <v>0.43</v>
      </c>
      <c r="D32" s="349">
        <f t="shared" si="0"/>
        <v>34</v>
      </c>
      <c r="E32" s="337">
        <v>34</v>
      </c>
      <c r="F32" s="691">
        <f>Gen!U38</f>
        <v>4676</v>
      </c>
      <c r="G32" s="690">
        <f>Gen!T38</f>
        <v>2053.59</v>
      </c>
      <c r="H32" s="690">
        <f>Gen!AK38</f>
        <v>186.49</v>
      </c>
      <c r="I32" s="68">
        <f t="shared" si="2"/>
        <v>2240.08</v>
      </c>
      <c r="J32" s="360">
        <f>Gen!D38</f>
        <v>30567.859999999997</v>
      </c>
      <c r="K32" s="244">
        <f>'Water-Meter'!E33</f>
        <v>109</v>
      </c>
      <c r="L32" s="520">
        <f>'Lpg (2)'!G37</f>
        <v>126.71999999994878</v>
      </c>
      <c r="M32" s="63" t="e">
        <f>SUM(#REF!-#REF!)</f>
        <v>#REF!</v>
      </c>
    </row>
    <row r="33" spans="1:13" x14ac:dyDescent="0.2">
      <c r="A33" s="527">
        <f>Gen!B39</f>
        <v>44559</v>
      </c>
      <c r="B33" s="519">
        <f>'Daily report Gen'!Z34</f>
        <v>40</v>
      </c>
      <c r="C33" s="70">
        <f>Gen!C39</f>
        <v>0.53</v>
      </c>
      <c r="D33" s="349">
        <f t="shared" si="0"/>
        <v>42</v>
      </c>
      <c r="E33" s="337">
        <v>42</v>
      </c>
      <c r="F33" s="691">
        <f>Gen!U39</f>
        <v>4892</v>
      </c>
      <c r="G33" s="690">
        <f>Gen!T39</f>
        <v>2039.95</v>
      </c>
      <c r="H33" s="690">
        <f>Gen!AK39</f>
        <v>236.12</v>
      </c>
      <c r="I33" s="68">
        <f t="shared" si="2"/>
        <v>2276.0700000000002</v>
      </c>
      <c r="J33" s="360">
        <f>Gen!D39</f>
        <v>46327.78</v>
      </c>
      <c r="K33" s="244">
        <f>'Water-Meter'!E34</f>
        <v>111</v>
      </c>
      <c r="L33" s="520">
        <f>'Lpg (2)'!G38</f>
        <v>135.38800000001794</v>
      </c>
      <c r="M33" s="63" t="e">
        <f>SUM(#REF!-#REF!)</f>
        <v>#REF!</v>
      </c>
    </row>
    <row r="34" spans="1:13" x14ac:dyDescent="0.2">
      <c r="A34" s="527">
        <f>Gen!B40</f>
        <v>44560</v>
      </c>
      <c r="B34" s="519">
        <f>'Daily report Gen'!Z35</f>
        <v>25</v>
      </c>
      <c r="C34" s="70">
        <f>Gen!C40</f>
        <v>0.61</v>
      </c>
      <c r="D34" s="349">
        <f t="shared" si="0"/>
        <v>48</v>
      </c>
      <c r="E34" s="337">
        <v>48</v>
      </c>
      <c r="F34" s="691">
        <f>Gen!U40</f>
        <v>4766</v>
      </c>
      <c r="G34" s="690">
        <f>Gen!T40</f>
        <v>2039.77</v>
      </c>
      <c r="H34" s="690">
        <f>Gen!AK40</f>
        <v>34.26</v>
      </c>
      <c r="I34" s="68">
        <f t="shared" si="2"/>
        <v>2074.0300000000002</v>
      </c>
      <c r="J34" s="360">
        <f>Gen!D40</f>
        <v>44051.71</v>
      </c>
      <c r="K34" s="244">
        <f>'Water-Meter'!E35</f>
        <v>102</v>
      </c>
      <c r="L34" s="520">
        <f>'Lpg (2)'!G39</f>
        <v>157.30000000000001</v>
      </c>
      <c r="M34" s="63" t="e">
        <f>SUM(#REF!-#REF!)</f>
        <v>#REF!</v>
      </c>
    </row>
    <row r="35" spans="1:13" x14ac:dyDescent="0.2">
      <c r="A35" s="527">
        <f>Gen!B41</f>
        <v>44561</v>
      </c>
      <c r="B35" s="519">
        <f>'Daily report Gen'!Z36</f>
        <v>42</v>
      </c>
      <c r="C35" s="70">
        <f>Gen!C41</f>
        <v>0.61</v>
      </c>
      <c r="D35" s="349">
        <f t="shared" si="0"/>
        <v>48</v>
      </c>
      <c r="E35" s="337">
        <v>48</v>
      </c>
      <c r="F35" s="691">
        <f>Gen!U41</f>
        <v>4562</v>
      </c>
      <c r="G35" s="690">
        <f>Gen!T41</f>
        <v>1894.18</v>
      </c>
      <c r="H35" s="690">
        <f>Gen!AK41</f>
        <v>882.87</v>
      </c>
      <c r="I35" s="68">
        <f t="shared" si="2"/>
        <v>2777.05</v>
      </c>
      <c r="J35" s="360">
        <f>Gen!D41</f>
        <v>41977.68</v>
      </c>
      <c r="K35" s="525">
        <f>'Water-Meter'!E36</f>
        <v>102</v>
      </c>
      <c r="L35" s="520">
        <f>'Lpg (2)'!G40</f>
        <v>163.02000000001283</v>
      </c>
      <c r="M35" s="63" t="e">
        <f>SUM(#REF!-#REF!)</f>
        <v>#REF!</v>
      </c>
    </row>
    <row r="36" spans="1:13" ht="13.5" thickBot="1" x14ac:dyDescent="0.25">
      <c r="A36" s="528">
        <f>Gen!B42</f>
        <v>0</v>
      </c>
      <c r="B36" s="519">
        <f>'Daily report Gen'!Z37</f>
        <v>-130496</v>
      </c>
      <c r="C36" s="521">
        <f>Gen!C42</f>
        <v>0</v>
      </c>
      <c r="D36" s="522">
        <f t="shared" si="0"/>
        <v>0</v>
      </c>
      <c r="E36" s="523"/>
      <c r="F36" s="691">
        <f>Gen!U42</f>
        <v>0</v>
      </c>
      <c r="G36" s="690">
        <f>Gen!T42</f>
        <v>0</v>
      </c>
      <c r="H36" s="690">
        <f>Gen!AK42</f>
        <v>0</v>
      </c>
      <c r="I36" s="68">
        <f t="shared" si="2"/>
        <v>0</v>
      </c>
      <c r="J36" s="524">
        <f>Gen!D42</f>
        <v>39200.629999999997</v>
      </c>
      <c r="K36" s="525">
        <f>'Water-Meter'!E37</f>
        <v>120</v>
      </c>
      <c r="L36" s="520" t="e">
        <f>'Lpg (2)'!#REF!</f>
        <v>#REF!</v>
      </c>
    </row>
    <row r="38" spans="1:13" x14ac:dyDescent="0.2">
      <c r="B38" s="67"/>
    </row>
    <row r="39" spans="1:13" x14ac:dyDescent="0.2">
      <c r="B39" s="67"/>
      <c r="C39" s="67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AN78"/>
  <sheetViews>
    <sheetView topLeftCell="A16" zoomScale="94" zoomScaleNormal="94" workbookViewId="0">
      <pane xSplit="1" topLeftCell="B1" activePane="topRight" state="frozen"/>
      <selection pane="topRight" activeCell="I77" sqref="I77"/>
    </sheetView>
  </sheetViews>
  <sheetFormatPr defaultRowHeight="12.75" x14ac:dyDescent="0.2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5.5703125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5.140625" customWidth="1"/>
  </cols>
  <sheetData>
    <row r="1" spans="1:40" ht="22.5" x14ac:dyDescent="0.3">
      <c r="A1" s="1000" t="s">
        <v>253</v>
      </c>
      <c r="B1" s="1001"/>
      <c r="C1" s="1001"/>
      <c r="D1" s="1001"/>
      <c r="E1" s="1001"/>
      <c r="F1" s="1001"/>
      <c r="G1" s="1001"/>
      <c r="H1" s="1001"/>
      <c r="I1" s="1001"/>
      <c r="J1" s="1001"/>
      <c r="K1" s="1001"/>
      <c r="L1" s="1001"/>
      <c r="M1" s="1001"/>
      <c r="N1" s="1001"/>
      <c r="O1" s="1001"/>
      <c r="P1" s="1001"/>
      <c r="Q1" s="1001"/>
      <c r="R1" s="1001"/>
      <c r="S1" s="1001"/>
      <c r="T1" s="1001"/>
      <c r="U1" s="1001"/>
      <c r="V1" s="1001"/>
      <c r="W1" s="1001"/>
      <c r="X1" s="1001"/>
      <c r="Y1" s="1001"/>
      <c r="Z1" s="1001"/>
      <c r="AA1" s="1001"/>
      <c r="AB1" s="1001"/>
      <c r="AC1" s="1001"/>
      <c r="AD1" s="1001"/>
      <c r="AE1" s="1001"/>
      <c r="AF1" s="1001"/>
      <c r="AG1" s="1001"/>
      <c r="AH1" s="1001"/>
      <c r="AI1" s="1001"/>
      <c r="AJ1" s="1001"/>
      <c r="AK1" s="1001"/>
      <c r="AL1" s="1001"/>
      <c r="AM1" s="1001"/>
      <c r="AN1" s="1001"/>
    </row>
    <row r="2" spans="1:40" ht="13.5" customHeight="1" x14ac:dyDescent="0.25">
      <c r="A2" s="20"/>
      <c r="B2" s="20"/>
      <c r="C2" s="999" t="s">
        <v>254</v>
      </c>
      <c r="D2" s="999"/>
      <c r="E2" s="999"/>
      <c r="F2" s="999" t="s">
        <v>255</v>
      </c>
      <c r="G2" s="999"/>
      <c r="H2" s="999"/>
      <c r="I2" s="999" t="s">
        <v>256</v>
      </c>
      <c r="J2" s="999"/>
      <c r="K2" s="999"/>
      <c r="L2" s="999" t="s">
        <v>257</v>
      </c>
      <c r="M2" s="999"/>
      <c r="N2" s="999"/>
      <c r="O2" s="999" t="s">
        <v>258</v>
      </c>
      <c r="P2" s="999"/>
      <c r="Q2" s="999"/>
      <c r="R2" s="213"/>
      <c r="S2" s="1008" t="s">
        <v>259</v>
      </c>
      <c r="T2" s="1009"/>
      <c r="U2" s="1010"/>
      <c r="V2" s="1014" t="s">
        <v>260</v>
      </c>
      <c r="W2" s="1015"/>
      <c r="X2" s="1016"/>
      <c r="Y2" s="1020" t="s">
        <v>261</v>
      </c>
      <c r="Z2" s="1015"/>
      <c r="AA2" s="1016"/>
      <c r="AB2" s="1020" t="s">
        <v>262</v>
      </c>
      <c r="AC2" s="1015"/>
      <c r="AD2" s="1016"/>
      <c r="AE2" s="1002" t="s">
        <v>263</v>
      </c>
      <c r="AF2" s="1003"/>
      <c r="AG2" s="1022"/>
      <c r="AH2" s="1002" t="s">
        <v>264</v>
      </c>
      <c r="AI2" s="1003"/>
      <c r="AJ2" s="1022"/>
      <c r="AK2" s="1002" t="s">
        <v>265</v>
      </c>
      <c r="AL2" s="1003"/>
      <c r="AM2" s="1003"/>
      <c r="AN2" s="1006" t="s">
        <v>266</v>
      </c>
    </row>
    <row r="3" spans="1:40" ht="21.75" customHeight="1" x14ac:dyDescent="0.25">
      <c r="A3" s="997" t="s">
        <v>227</v>
      </c>
      <c r="B3" s="20"/>
      <c r="C3" s="999" t="s">
        <v>267</v>
      </c>
      <c r="D3" s="999" t="s">
        <v>268</v>
      </c>
      <c r="E3" s="999" t="s">
        <v>237</v>
      </c>
      <c r="F3" s="999" t="s">
        <v>267</v>
      </c>
      <c r="G3" s="999" t="s">
        <v>268</v>
      </c>
      <c r="H3" s="999" t="s">
        <v>237</v>
      </c>
      <c r="I3" s="999" t="s">
        <v>267</v>
      </c>
      <c r="J3" s="999" t="s">
        <v>268</v>
      </c>
      <c r="K3" s="999" t="s">
        <v>237</v>
      </c>
      <c r="L3" s="999" t="s">
        <v>267</v>
      </c>
      <c r="M3" s="999" t="s">
        <v>268</v>
      </c>
      <c r="N3" s="999" t="s">
        <v>237</v>
      </c>
      <c r="O3" s="999" t="s">
        <v>267</v>
      </c>
      <c r="P3" s="999" t="s">
        <v>268</v>
      </c>
      <c r="Q3" s="999" t="s">
        <v>237</v>
      </c>
      <c r="R3" s="1024" t="s">
        <v>269</v>
      </c>
      <c r="S3" s="1011"/>
      <c r="T3" s="1012"/>
      <c r="U3" s="1013"/>
      <c r="V3" s="1017"/>
      <c r="W3" s="1018"/>
      <c r="X3" s="1019"/>
      <c r="Y3" s="1021"/>
      <c r="Z3" s="1018"/>
      <c r="AA3" s="1019"/>
      <c r="AB3" s="1021"/>
      <c r="AC3" s="1018"/>
      <c r="AD3" s="1019"/>
      <c r="AE3" s="1004"/>
      <c r="AF3" s="1005"/>
      <c r="AG3" s="1023"/>
      <c r="AH3" s="1004"/>
      <c r="AI3" s="1005"/>
      <c r="AJ3" s="1023"/>
      <c r="AK3" s="1004"/>
      <c r="AL3" s="1005"/>
      <c r="AM3" s="1005"/>
      <c r="AN3" s="1007"/>
    </row>
    <row r="4" spans="1:40" ht="15" x14ac:dyDescent="0.25">
      <c r="A4" s="998"/>
      <c r="B4" s="209"/>
      <c r="C4" s="999"/>
      <c r="D4" s="999"/>
      <c r="E4" s="999"/>
      <c r="F4" s="999"/>
      <c r="G4" s="999"/>
      <c r="H4" s="999"/>
      <c r="I4" s="999"/>
      <c r="J4" s="999"/>
      <c r="K4" s="999"/>
      <c r="L4" s="999"/>
      <c r="M4" s="999"/>
      <c r="N4" s="999"/>
      <c r="O4" s="999"/>
      <c r="P4" s="999"/>
      <c r="Q4" s="999"/>
      <c r="R4" s="1024"/>
      <c r="S4" s="777" t="s">
        <v>270</v>
      </c>
      <c r="T4" s="215" t="s">
        <v>271</v>
      </c>
      <c r="U4" s="778" t="s">
        <v>272</v>
      </c>
      <c r="V4" s="214" t="s">
        <v>270</v>
      </c>
      <c r="W4" s="215" t="s">
        <v>271</v>
      </c>
      <c r="X4" s="216" t="s">
        <v>272</v>
      </c>
      <c r="Y4" s="214" t="s">
        <v>270</v>
      </c>
      <c r="Z4" s="215" t="s">
        <v>271</v>
      </c>
      <c r="AA4" s="216" t="s">
        <v>272</v>
      </c>
      <c r="AB4" s="480" t="s">
        <v>270</v>
      </c>
      <c r="AC4" s="481" t="s">
        <v>271</v>
      </c>
      <c r="AD4" s="482" t="s">
        <v>101</v>
      </c>
      <c r="AE4" s="214" t="s">
        <v>270</v>
      </c>
      <c r="AF4" s="215" t="s">
        <v>271</v>
      </c>
      <c r="AG4" s="241" t="s">
        <v>101</v>
      </c>
      <c r="AH4" s="214" t="s">
        <v>270</v>
      </c>
      <c r="AI4" s="215" t="s">
        <v>271</v>
      </c>
      <c r="AJ4" s="241" t="s">
        <v>101</v>
      </c>
      <c r="AK4" s="214" t="s">
        <v>270</v>
      </c>
      <c r="AL4" s="215" t="s">
        <v>271</v>
      </c>
      <c r="AM4" s="241" t="s">
        <v>101</v>
      </c>
      <c r="AN4" s="693"/>
    </row>
    <row r="5" spans="1:40" ht="20.25" x14ac:dyDescent="0.3">
      <c r="A5" s="4"/>
      <c r="B5" s="4"/>
      <c r="C5" s="78">
        <f t="shared" ref="C5:C24" si="0">D4</f>
        <v>0</v>
      </c>
      <c r="D5" s="1">
        <v>274783</v>
      </c>
      <c r="E5" s="47"/>
      <c r="F5" s="78">
        <f t="shared" ref="F5:F37" si="1">G4</f>
        <v>0</v>
      </c>
      <c r="G5" s="768"/>
      <c r="H5" s="385">
        <v>0</v>
      </c>
      <c r="I5" s="78">
        <f t="shared" ref="I5:I24" si="2">J4</f>
        <v>0</v>
      </c>
      <c r="J5" s="1">
        <v>8871</v>
      </c>
      <c r="K5" s="385"/>
      <c r="L5" s="78">
        <f t="shared" ref="L5:L24" si="3">M4</f>
        <v>0</v>
      </c>
      <c r="M5" s="1"/>
      <c r="N5" s="385">
        <v>0</v>
      </c>
      <c r="O5" s="78">
        <f t="shared" ref="O5:O25" si="4">P4</f>
        <v>0</v>
      </c>
      <c r="P5" s="758">
        <v>22709</v>
      </c>
      <c r="Q5" s="385"/>
      <c r="R5" s="888"/>
      <c r="S5" s="210"/>
      <c r="T5" s="759">
        <v>79950</v>
      </c>
      <c r="U5" s="210"/>
      <c r="V5" s="210" t="str">
        <f t="shared" ref="V5:V20" si="5">W4</f>
        <v>FINAL</v>
      </c>
      <c r="W5" s="309"/>
      <c r="X5" s="211">
        <v>0</v>
      </c>
      <c r="Y5" s="210" t="str">
        <f t="shared" ref="Y5:Y36" si="6">Z4</f>
        <v>FINAL</v>
      </c>
      <c r="Z5" s="309">
        <v>96644</v>
      </c>
      <c r="AA5" s="211">
        <v>0</v>
      </c>
      <c r="AB5" s="483" t="str">
        <f>AC4</f>
        <v>FINAL</v>
      </c>
      <c r="AC5" s="484">
        <v>23145</v>
      </c>
      <c r="AD5" s="485"/>
      <c r="AE5" s="210" t="str">
        <f t="shared" ref="AE5:AE37" si="7">AF4</f>
        <v>FINAL</v>
      </c>
      <c r="AF5" s="310"/>
      <c r="AG5" s="217">
        <v>0</v>
      </c>
      <c r="AH5" s="210" t="str">
        <f t="shared" ref="AH5:AH36" si="8">AI4</f>
        <v>FINAL</v>
      </c>
      <c r="AI5" s="310">
        <v>37477</v>
      </c>
      <c r="AJ5" s="217"/>
      <c r="AK5" s="210" t="str">
        <f t="shared" ref="AK5:AK37" si="9">AL4</f>
        <v>FINAL</v>
      </c>
      <c r="AL5" s="309"/>
      <c r="AM5" s="217"/>
      <c r="AN5" s="694"/>
    </row>
    <row r="6" spans="1:40" ht="23.1" customHeight="1" x14ac:dyDescent="0.3">
      <c r="A6" s="46">
        <f>Gen!B11</f>
        <v>44531</v>
      </c>
      <c r="B6" s="4"/>
      <c r="C6" s="78">
        <f t="shared" si="0"/>
        <v>274783</v>
      </c>
      <c r="D6" s="1">
        <v>274862</v>
      </c>
      <c r="E6" s="47">
        <f>IF((D6-D5)&lt;0,"0",(D6-D5))</f>
        <v>79</v>
      </c>
      <c r="F6" s="78">
        <f t="shared" si="1"/>
        <v>0</v>
      </c>
      <c r="G6" s="768"/>
      <c r="H6" s="385">
        <f t="shared" ref="H6:H23" si="10">IF((G6-G5)&lt;0,"0",(G6-G5))</f>
        <v>0</v>
      </c>
      <c r="I6" s="78">
        <f t="shared" si="2"/>
        <v>8871</v>
      </c>
      <c r="J6" s="1">
        <v>8872</v>
      </c>
      <c r="K6" s="385">
        <f t="shared" ref="K6" si="11">J6-J5</f>
        <v>1</v>
      </c>
      <c r="L6" s="78">
        <f t="shared" si="3"/>
        <v>0</v>
      </c>
      <c r="M6" s="1"/>
      <c r="N6" s="385">
        <f t="shared" ref="N6:N24" si="12">IF((M6-M5)&lt;0,"0",(M6-M5))</f>
        <v>0</v>
      </c>
      <c r="O6" s="78">
        <f t="shared" si="4"/>
        <v>22709</v>
      </c>
      <c r="P6" s="758">
        <v>22716</v>
      </c>
      <c r="Q6" s="385">
        <f t="shared" ref="Q6:Q27" si="13">IF((P6-P5)&lt;0,"0",(P6-P5))</f>
        <v>7</v>
      </c>
      <c r="R6" s="889">
        <f>Q6+N6+K6+H6</f>
        <v>8</v>
      </c>
      <c r="S6" s="210">
        <f t="shared" ref="S6:S37" si="14">T5</f>
        <v>79950</v>
      </c>
      <c r="T6" s="759">
        <v>79985</v>
      </c>
      <c r="U6" s="386">
        <f>IF((T6-T5)&lt;0,"0",(T6-T5))</f>
        <v>35</v>
      </c>
      <c r="V6" s="210">
        <f t="shared" si="5"/>
        <v>0</v>
      </c>
      <c r="W6" s="309"/>
      <c r="X6" s="386">
        <f t="shared" ref="X6:X34" si="15">IF((W6-W5)&lt;0,"0",(W6-W5))</f>
        <v>0</v>
      </c>
      <c r="Y6" s="210">
        <f t="shared" si="6"/>
        <v>96644</v>
      </c>
      <c r="Z6" s="309">
        <v>96680</v>
      </c>
      <c r="AA6" s="386">
        <f t="shared" ref="AA6:AA37" si="16">IF((Z6-Z5)&lt;0,"0",(Z6-Z5))</f>
        <v>36</v>
      </c>
      <c r="AB6" s="483">
        <f>AC5</f>
        <v>23145</v>
      </c>
      <c r="AC6" s="484">
        <v>23171</v>
      </c>
      <c r="AD6" s="486">
        <f>IF((AC6-AC5)&lt;0,"0",(AC6-AC5))</f>
        <v>26</v>
      </c>
      <c r="AE6" s="210">
        <f t="shared" si="7"/>
        <v>0</v>
      </c>
      <c r="AF6" s="310"/>
      <c r="AG6" s="386">
        <f t="shared" ref="AG6:AG36" si="17">IF((AF6-AF5)&lt;0,"0",(AF6-AF5))</f>
        <v>0</v>
      </c>
      <c r="AH6" s="210">
        <f t="shared" si="8"/>
        <v>37477</v>
      </c>
      <c r="AI6" s="310">
        <v>37512</v>
      </c>
      <c r="AJ6" s="386">
        <f t="shared" ref="AJ6:AJ37" si="18">IF((AI6-AI5)&lt;0,"0",(AI6-AI5))</f>
        <v>35</v>
      </c>
      <c r="AK6" s="210">
        <f t="shared" si="9"/>
        <v>0</v>
      </c>
      <c r="AL6" s="309"/>
      <c r="AM6" s="386">
        <f t="shared" ref="AM6:AM36" si="19">IF((AL6-AL5)&lt;0,"0",(AL6-AL5))</f>
        <v>0</v>
      </c>
      <c r="AN6" s="695">
        <f>U6+X6+AA6+AD6+AG6+AJ6+AM6</f>
        <v>132</v>
      </c>
    </row>
    <row r="7" spans="1:40" ht="23.1" customHeight="1" x14ac:dyDescent="0.3">
      <c r="A7" s="46">
        <f>Gen!B12</f>
        <v>44532</v>
      </c>
      <c r="B7" s="4"/>
      <c r="C7" s="78">
        <f t="shared" si="0"/>
        <v>274862</v>
      </c>
      <c r="D7" s="1">
        <v>274929</v>
      </c>
      <c r="E7" s="47">
        <f t="shared" ref="E7:E15" si="20">IF((D7-D6)&lt;0,"0",(D7-D6))</f>
        <v>67</v>
      </c>
      <c r="F7" s="78">
        <f t="shared" si="1"/>
        <v>0</v>
      </c>
      <c r="G7" s="768"/>
      <c r="H7" s="385">
        <f t="shared" si="10"/>
        <v>0</v>
      </c>
      <c r="I7" s="78">
        <f t="shared" si="2"/>
        <v>8872</v>
      </c>
      <c r="J7" s="1">
        <v>8874</v>
      </c>
      <c r="K7" s="385">
        <f>J7-J6</f>
        <v>2</v>
      </c>
      <c r="L7" s="78">
        <f t="shared" si="3"/>
        <v>0</v>
      </c>
      <c r="M7" s="1"/>
      <c r="N7" s="385">
        <f t="shared" si="12"/>
        <v>0</v>
      </c>
      <c r="O7" s="78">
        <f t="shared" si="4"/>
        <v>22716</v>
      </c>
      <c r="P7" s="758">
        <v>22721</v>
      </c>
      <c r="Q7" s="385">
        <f t="shared" si="13"/>
        <v>5</v>
      </c>
      <c r="R7" s="889">
        <f t="shared" ref="R7:R38" si="21">Q7+N7+K7+H7</f>
        <v>7</v>
      </c>
      <c r="S7" s="210">
        <f t="shared" si="14"/>
        <v>79985</v>
      </c>
      <c r="T7" s="759">
        <v>79985</v>
      </c>
      <c r="U7" s="386">
        <f t="shared" ref="U7:U34" si="22">IF((T7-T6)&lt;0,"0",(T7-T6))</f>
        <v>0</v>
      </c>
      <c r="V7" s="210">
        <f t="shared" si="5"/>
        <v>0</v>
      </c>
      <c r="W7" s="309"/>
      <c r="X7" s="386">
        <f t="shared" si="15"/>
        <v>0</v>
      </c>
      <c r="Y7" s="210">
        <f t="shared" si="6"/>
        <v>96680</v>
      </c>
      <c r="Z7" s="309">
        <v>96717</v>
      </c>
      <c r="AA7" s="386">
        <f t="shared" si="16"/>
        <v>37</v>
      </c>
      <c r="AB7" s="483">
        <f t="shared" ref="AB7:AB37" si="23">AC6</f>
        <v>23171</v>
      </c>
      <c r="AC7" s="484">
        <v>23172</v>
      </c>
      <c r="AD7" s="486">
        <f t="shared" ref="AD7:AD37" si="24">IF((AC7-AC6)&lt;0,"0",(AC7-AC6))</f>
        <v>1</v>
      </c>
      <c r="AE7" s="210">
        <f t="shared" si="7"/>
        <v>0</v>
      </c>
      <c r="AF7" s="310"/>
      <c r="AG7" s="386">
        <f t="shared" si="17"/>
        <v>0</v>
      </c>
      <c r="AH7" s="210">
        <f t="shared" si="8"/>
        <v>37512</v>
      </c>
      <c r="AI7" s="310">
        <v>37548</v>
      </c>
      <c r="AJ7" s="386">
        <f t="shared" si="18"/>
        <v>36</v>
      </c>
      <c r="AK7" s="210">
        <f t="shared" si="9"/>
        <v>0</v>
      </c>
      <c r="AL7" s="309"/>
      <c r="AM7" s="386">
        <f t="shared" si="19"/>
        <v>0</v>
      </c>
      <c r="AN7" s="695">
        <f t="shared" ref="AN7:AN10" si="25">U7+X7+AA7+AD7+AG7+AJ7+AM7</f>
        <v>74</v>
      </c>
    </row>
    <row r="8" spans="1:40" ht="23.1" customHeight="1" x14ac:dyDescent="0.3">
      <c r="A8" s="46">
        <f>Gen!B13</f>
        <v>44533</v>
      </c>
      <c r="B8" s="4"/>
      <c r="C8" s="78">
        <f t="shared" si="0"/>
        <v>274929</v>
      </c>
      <c r="D8" s="1">
        <v>275012</v>
      </c>
      <c r="E8" s="47">
        <f>IF((D8-D7)&lt;0,"0",(D8-D7))</f>
        <v>83</v>
      </c>
      <c r="F8" s="78">
        <f t="shared" si="1"/>
        <v>0</v>
      </c>
      <c r="G8" s="768"/>
      <c r="H8" s="385">
        <f t="shared" si="10"/>
        <v>0</v>
      </c>
      <c r="I8" s="78">
        <f t="shared" si="2"/>
        <v>8874</v>
      </c>
      <c r="J8" s="1">
        <v>8876</v>
      </c>
      <c r="K8" s="385">
        <f>J8-J7</f>
        <v>2</v>
      </c>
      <c r="L8" s="78">
        <f t="shared" si="3"/>
        <v>0</v>
      </c>
      <c r="M8" s="1"/>
      <c r="N8" s="385">
        <f t="shared" si="12"/>
        <v>0</v>
      </c>
      <c r="O8" s="78">
        <f t="shared" si="4"/>
        <v>22721</v>
      </c>
      <c r="P8" s="758">
        <v>22724</v>
      </c>
      <c r="Q8" s="385">
        <f t="shared" si="13"/>
        <v>3</v>
      </c>
      <c r="R8" s="890">
        <f>Q8+N8+K8+H8</f>
        <v>5</v>
      </c>
      <c r="S8" s="210">
        <f t="shared" si="14"/>
        <v>79985</v>
      </c>
      <c r="T8" s="759">
        <v>79985</v>
      </c>
      <c r="U8" s="386">
        <f t="shared" si="22"/>
        <v>0</v>
      </c>
      <c r="V8" s="210">
        <f t="shared" si="5"/>
        <v>0</v>
      </c>
      <c r="W8" s="309"/>
      <c r="X8" s="386">
        <f t="shared" si="15"/>
        <v>0</v>
      </c>
      <c r="Y8" s="210">
        <f t="shared" si="6"/>
        <v>96717</v>
      </c>
      <c r="Z8" s="309">
        <v>96755</v>
      </c>
      <c r="AA8" s="386">
        <f t="shared" si="16"/>
        <v>38</v>
      </c>
      <c r="AB8" s="483">
        <f t="shared" si="23"/>
        <v>23172</v>
      </c>
      <c r="AC8" s="484">
        <v>23182</v>
      </c>
      <c r="AD8" s="486">
        <f t="shared" si="24"/>
        <v>10</v>
      </c>
      <c r="AE8" s="210">
        <f t="shared" si="7"/>
        <v>0</v>
      </c>
      <c r="AF8" s="310"/>
      <c r="AG8" s="386">
        <f t="shared" si="17"/>
        <v>0</v>
      </c>
      <c r="AH8" s="210">
        <f>AI7</f>
        <v>37548</v>
      </c>
      <c r="AI8" s="310">
        <v>37584</v>
      </c>
      <c r="AJ8" s="386">
        <f t="shared" si="18"/>
        <v>36</v>
      </c>
      <c r="AK8" s="210">
        <f t="shared" si="9"/>
        <v>0</v>
      </c>
      <c r="AL8" s="309"/>
      <c r="AM8" s="386">
        <f t="shared" si="19"/>
        <v>0</v>
      </c>
      <c r="AN8" s="695">
        <f>U8+X8+AA8+AD8+AG8+AJ8+AM8</f>
        <v>84</v>
      </c>
    </row>
    <row r="9" spans="1:40" ht="23.1" customHeight="1" x14ac:dyDescent="0.3">
      <c r="A9" s="46">
        <f>Gen!B14</f>
        <v>44534</v>
      </c>
      <c r="B9" s="4"/>
      <c r="C9" s="78">
        <f t="shared" si="0"/>
        <v>275012</v>
      </c>
      <c r="D9" s="1">
        <v>275079</v>
      </c>
      <c r="E9" s="47">
        <f t="shared" si="20"/>
        <v>67</v>
      </c>
      <c r="F9" s="78">
        <f t="shared" si="1"/>
        <v>0</v>
      </c>
      <c r="G9" s="768"/>
      <c r="H9" s="385">
        <f t="shared" si="10"/>
        <v>0</v>
      </c>
      <c r="I9" s="78">
        <f t="shared" si="2"/>
        <v>8876</v>
      </c>
      <c r="J9" s="1">
        <v>8889</v>
      </c>
      <c r="K9" s="385">
        <f>J9-J8</f>
        <v>13</v>
      </c>
      <c r="L9" s="78">
        <f t="shared" si="3"/>
        <v>0</v>
      </c>
      <c r="M9" s="1"/>
      <c r="N9" s="385">
        <f t="shared" si="12"/>
        <v>0</v>
      </c>
      <c r="O9" s="78">
        <f t="shared" si="4"/>
        <v>22724</v>
      </c>
      <c r="P9" s="758">
        <v>22729</v>
      </c>
      <c r="Q9" s="385">
        <f t="shared" si="13"/>
        <v>5</v>
      </c>
      <c r="R9" s="889">
        <f t="shared" si="21"/>
        <v>18</v>
      </c>
      <c r="S9" s="210">
        <f t="shared" si="14"/>
        <v>79985</v>
      </c>
      <c r="T9" s="759">
        <v>79985</v>
      </c>
      <c r="U9" s="386">
        <f t="shared" si="22"/>
        <v>0</v>
      </c>
      <c r="V9" s="210">
        <f t="shared" si="5"/>
        <v>0</v>
      </c>
      <c r="W9" s="309"/>
      <c r="X9" s="386">
        <f t="shared" si="15"/>
        <v>0</v>
      </c>
      <c r="Y9" s="210">
        <f t="shared" si="6"/>
        <v>96755</v>
      </c>
      <c r="Z9" s="309">
        <v>96788</v>
      </c>
      <c r="AA9" s="386">
        <f t="shared" si="16"/>
        <v>33</v>
      </c>
      <c r="AB9" s="483">
        <f t="shared" si="23"/>
        <v>23182</v>
      </c>
      <c r="AC9" s="484">
        <v>23197</v>
      </c>
      <c r="AD9" s="486">
        <f t="shared" si="24"/>
        <v>15</v>
      </c>
      <c r="AE9" s="210">
        <f t="shared" si="7"/>
        <v>0</v>
      </c>
      <c r="AF9" s="310"/>
      <c r="AG9" s="386">
        <f t="shared" si="17"/>
        <v>0</v>
      </c>
      <c r="AH9" s="210">
        <f>AI8</f>
        <v>37584</v>
      </c>
      <c r="AI9" s="310">
        <v>37617</v>
      </c>
      <c r="AJ9" s="386">
        <f t="shared" si="18"/>
        <v>33</v>
      </c>
      <c r="AK9" s="210">
        <f t="shared" si="9"/>
        <v>0</v>
      </c>
      <c r="AL9" s="309"/>
      <c r="AM9" s="386">
        <f t="shared" si="19"/>
        <v>0</v>
      </c>
      <c r="AN9" s="695">
        <f t="shared" si="25"/>
        <v>81</v>
      </c>
    </row>
    <row r="10" spans="1:40" ht="23.1" customHeight="1" x14ac:dyDescent="0.3">
      <c r="A10" s="46">
        <f>Gen!B15</f>
        <v>44535</v>
      </c>
      <c r="B10" s="4"/>
      <c r="C10" s="78">
        <f t="shared" si="0"/>
        <v>275079</v>
      </c>
      <c r="D10" s="1">
        <v>275141</v>
      </c>
      <c r="E10" s="47">
        <f t="shared" si="20"/>
        <v>62</v>
      </c>
      <c r="F10" s="78">
        <f t="shared" si="1"/>
        <v>0</v>
      </c>
      <c r="G10" s="768"/>
      <c r="H10" s="385">
        <f t="shared" si="10"/>
        <v>0</v>
      </c>
      <c r="I10" s="78">
        <f t="shared" si="2"/>
        <v>8889</v>
      </c>
      <c r="J10" s="1">
        <v>8895</v>
      </c>
      <c r="K10" s="385">
        <f t="shared" ref="K10:K13" si="26">J10-J9</f>
        <v>6</v>
      </c>
      <c r="L10" s="78">
        <f t="shared" si="3"/>
        <v>0</v>
      </c>
      <c r="M10" s="1"/>
      <c r="N10" s="385">
        <f t="shared" si="12"/>
        <v>0</v>
      </c>
      <c r="O10" s="78">
        <f t="shared" si="4"/>
        <v>22729</v>
      </c>
      <c r="P10" s="758">
        <v>22733</v>
      </c>
      <c r="Q10" s="385">
        <f t="shared" si="13"/>
        <v>4</v>
      </c>
      <c r="R10" s="889">
        <f t="shared" si="21"/>
        <v>10</v>
      </c>
      <c r="S10" s="210">
        <f t="shared" si="14"/>
        <v>79985</v>
      </c>
      <c r="T10" s="759">
        <v>79985</v>
      </c>
      <c r="U10" s="386">
        <f t="shared" si="22"/>
        <v>0</v>
      </c>
      <c r="V10" s="210">
        <f t="shared" si="5"/>
        <v>0</v>
      </c>
      <c r="W10" s="309"/>
      <c r="X10" s="386">
        <f t="shared" si="15"/>
        <v>0</v>
      </c>
      <c r="Y10" s="210">
        <f t="shared" si="6"/>
        <v>96788</v>
      </c>
      <c r="Z10" s="309">
        <v>96823</v>
      </c>
      <c r="AA10" s="386">
        <f t="shared" si="16"/>
        <v>35</v>
      </c>
      <c r="AB10" s="483">
        <f t="shared" si="23"/>
        <v>23197</v>
      </c>
      <c r="AC10" s="484">
        <v>23211</v>
      </c>
      <c r="AD10" s="486">
        <f t="shared" si="24"/>
        <v>14</v>
      </c>
      <c r="AE10" s="210">
        <f t="shared" si="7"/>
        <v>0</v>
      </c>
      <c r="AF10" s="310"/>
      <c r="AG10" s="386">
        <f t="shared" si="17"/>
        <v>0</v>
      </c>
      <c r="AH10" s="210">
        <f t="shared" si="8"/>
        <v>37617</v>
      </c>
      <c r="AI10" s="310">
        <v>37652</v>
      </c>
      <c r="AJ10" s="386">
        <f t="shared" si="18"/>
        <v>35</v>
      </c>
      <c r="AK10" s="210">
        <f t="shared" si="9"/>
        <v>0</v>
      </c>
      <c r="AL10" s="309"/>
      <c r="AM10" s="386">
        <f t="shared" si="19"/>
        <v>0</v>
      </c>
      <c r="AN10" s="695">
        <f t="shared" si="25"/>
        <v>84</v>
      </c>
    </row>
    <row r="11" spans="1:40" ht="23.1" customHeight="1" x14ac:dyDescent="0.3">
      <c r="A11" s="46">
        <f>Gen!B16</f>
        <v>44536</v>
      </c>
      <c r="B11" s="4"/>
      <c r="C11" s="78">
        <f t="shared" si="0"/>
        <v>275141</v>
      </c>
      <c r="D11" s="1">
        <v>275198</v>
      </c>
      <c r="E11" s="47">
        <f t="shared" si="20"/>
        <v>57</v>
      </c>
      <c r="F11" s="78">
        <f t="shared" si="1"/>
        <v>0</v>
      </c>
      <c r="G11" s="768"/>
      <c r="H11" s="385">
        <f t="shared" si="10"/>
        <v>0</v>
      </c>
      <c r="I11" s="78">
        <f t="shared" si="2"/>
        <v>8895</v>
      </c>
      <c r="J11" s="1">
        <v>8897</v>
      </c>
      <c r="K11" s="385">
        <f t="shared" si="26"/>
        <v>2</v>
      </c>
      <c r="L11" s="78">
        <f t="shared" si="3"/>
        <v>0</v>
      </c>
      <c r="M11" s="1"/>
      <c r="N11" s="385">
        <f t="shared" si="12"/>
        <v>0</v>
      </c>
      <c r="O11" s="78">
        <f t="shared" si="4"/>
        <v>22733</v>
      </c>
      <c r="P11" s="758">
        <v>22738</v>
      </c>
      <c r="Q11" s="385">
        <f t="shared" si="13"/>
        <v>5</v>
      </c>
      <c r="R11" s="889">
        <f t="shared" si="21"/>
        <v>7</v>
      </c>
      <c r="S11" s="210">
        <f t="shared" si="14"/>
        <v>79985</v>
      </c>
      <c r="T11" s="759">
        <v>79985</v>
      </c>
      <c r="U11" s="386">
        <f t="shared" si="22"/>
        <v>0</v>
      </c>
      <c r="V11" s="210">
        <f t="shared" si="5"/>
        <v>0</v>
      </c>
      <c r="W11" s="309"/>
      <c r="X11" s="386">
        <f>IF((W12-W10)&lt;0,"0",(W12-W10))</f>
        <v>0</v>
      </c>
      <c r="Y11" s="210">
        <f t="shared" si="6"/>
        <v>96823</v>
      </c>
      <c r="Z11" s="309">
        <v>96858</v>
      </c>
      <c r="AA11" s="386">
        <f t="shared" si="16"/>
        <v>35</v>
      </c>
      <c r="AB11" s="483">
        <f t="shared" si="23"/>
        <v>23211</v>
      </c>
      <c r="AC11" s="484">
        <v>23213</v>
      </c>
      <c r="AD11" s="486">
        <f>IF((AC11-AC10)&lt;0,"0",(AC11-AC10))</f>
        <v>2</v>
      </c>
      <c r="AE11" s="210">
        <f>AF11</f>
        <v>0</v>
      </c>
      <c r="AF11" s="310"/>
      <c r="AG11" s="386">
        <f>IF((AF11-AF10)&lt;0,"0",(AF11-AF10))</f>
        <v>0</v>
      </c>
      <c r="AH11" s="210">
        <f t="shared" si="8"/>
        <v>37652</v>
      </c>
      <c r="AI11" s="310">
        <v>37687</v>
      </c>
      <c r="AJ11" s="386">
        <f t="shared" si="18"/>
        <v>35</v>
      </c>
      <c r="AK11" s="210">
        <f t="shared" si="9"/>
        <v>0</v>
      </c>
      <c r="AL11" s="309"/>
      <c r="AM11" s="386">
        <f t="shared" si="19"/>
        <v>0</v>
      </c>
      <c r="AN11" s="695">
        <f>U11+X11+AA11+AD11+AG11+AJ11+AM11</f>
        <v>72</v>
      </c>
    </row>
    <row r="12" spans="1:40" ht="23.1" customHeight="1" x14ac:dyDescent="0.3">
      <c r="A12" s="46">
        <f>Gen!B17</f>
        <v>44537</v>
      </c>
      <c r="B12" s="4"/>
      <c r="C12" s="78">
        <f t="shared" si="0"/>
        <v>275198</v>
      </c>
      <c r="D12" s="1">
        <v>275271</v>
      </c>
      <c r="E12" s="47">
        <f t="shared" si="20"/>
        <v>73</v>
      </c>
      <c r="F12" s="78">
        <f t="shared" si="1"/>
        <v>0</v>
      </c>
      <c r="G12" s="768"/>
      <c r="H12" s="385">
        <f t="shared" si="10"/>
        <v>0</v>
      </c>
      <c r="I12" s="78">
        <f t="shared" si="2"/>
        <v>8897</v>
      </c>
      <c r="J12" s="1">
        <v>8900</v>
      </c>
      <c r="K12" s="385">
        <f t="shared" si="26"/>
        <v>3</v>
      </c>
      <c r="L12" s="78">
        <f t="shared" si="3"/>
        <v>0</v>
      </c>
      <c r="M12" s="1"/>
      <c r="N12" s="385">
        <f t="shared" si="12"/>
        <v>0</v>
      </c>
      <c r="O12" s="78">
        <f>P11</f>
        <v>22738</v>
      </c>
      <c r="P12" s="758">
        <v>22745</v>
      </c>
      <c r="Q12" s="385">
        <f t="shared" si="13"/>
        <v>7</v>
      </c>
      <c r="R12" s="889">
        <f t="shared" si="21"/>
        <v>10</v>
      </c>
      <c r="S12" s="210">
        <f t="shared" si="14"/>
        <v>79985</v>
      </c>
      <c r="T12" s="759">
        <v>79985</v>
      </c>
      <c r="U12" s="386">
        <f t="shared" si="22"/>
        <v>0</v>
      </c>
      <c r="V12" s="210">
        <f>W12</f>
        <v>0</v>
      </c>
      <c r="W12" s="309"/>
      <c r="X12" s="386">
        <f>IF((W13-W11)&lt;0,"0",(W13-W11))</f>
        <v>0</v>
      </c>
      <c r="Y12" s="210">
        <f t="shared" si="6"/>
        <v>96858</v>
      </c>
      <c r="Z12" s="309">
        <v>96895</v>
      </c>
      <c r="AA12" s="386">
        <f t="shared" si="16"/>
        <v>37</v>
      </c>
      <c r="AB12" s="483">
        <f t="shared" si="23"/>
        <v>23213</v>
      </c>
      <c r="AC12" s="484">
        <v>23213</v>
      </c>
      <c r="AD12" s="486">
        <f t="shared" si="24"/>
        <v>0</v>
      </c>
      <c r="AE12" s="210">
        <f t="shared" ref="AE12:AE20" si="27">AF12</f>
        <v>0</v>
      </c>
      <c r="AF12" s="310"/>
      <c r="AG12" s="386">
        <f t="shared" si="17"/>
        <v>0</v>
      </c>
      <c r="AH12" s="210">
        <f t="shared" si="8"/>
        <v>37687</v>
      </c>
      <c r="AI12" s="310">
        <v>37722</v>
      </c>
      <c r="AJ12" s="386">
        <f t="shared" si="18"/>
        <v>35</v>
      </c>
      <c r="AK12" s="210">
        <f t="shared" si="9"/>
        <v>0</v>
      </c>
      <c r="AL12" s="309"/>
      <c r="AM12" s="386">
        <f t="shared" si="19"/>
        <v>0</v>
      </c>
      <c r="AN12" s="695">
        <f t="shared" ref="AN12:AN34" si="28">U12+X12+AA12+AD12+AG12+AJ12+AM12</f>
        <v>72</v>
      </c>
    </row>
    <row r="13" spans="1:40" ht="23.1" customHeight="1" x14ac:dyDescent="0.3">
      <c r="A13" s="46">
        <f>Gen!B18</f>
        <v>44538</v>
      </c>
      <c r="B13" s="4"/>
      <c r="C13" s="78">
        <f t="shared" si="0"/>
        <v>275271</v>
      </c>
      <c r="D13" s="1">
        <v>275351</v>
      </c>
      <c r="E13" s="47">
        <f t="shared" si="20"/>
        <v>80</v>
      </c>
      <c r="F13" s="78">
        <f t="shared" si="1"/>
        <v>0</v>
      </c>
      <c r="G13" s="768"/>
      <c r="H13" s="385">
        <f t="shared" si="10"/>
        <v>0</v>
      </c>
      <c r="I13" s="78">
        <f t="shared" si="2"/>
        <v>8900</v>
      </c>
      <c r="J13" s="1">
        <v>8903</v>
      </c>
      <c r="K13" s="385">
        <f t="shared" si="26"/>
        <v>3</v>
      </c>
      <c r="L13" s="78">
        <f t="shared" si="3"/>
        <v>0</v>
      </c>
      <c r="M13" s="1"/>
      <c r="N13" s="385">
        <f t="shared" si="12"/>
        <v>0</v>
      </c>
      <c r="O13" s="78">
        <f>P12</f>
        <v>22745</v>
      </c>
      <c r="P13" s="758">
        <v>22751</v>
      </c>
      <c r="Q13" s="385">
        <f t="shared" si="13"/>
        <v>6</v>
      </c>
      <c r="R13" s="889">
        <f t="shared" si="21"/>
        <v>9</v>
      </c>
      <c r="S13" s="210">
        <f t="shared" si="14"/>
        <v>79985</v>
      </c>
      <c r="T13" s="759">
        <v>80059</v>
      </c>
      <c r="U13" s="386">
        <f t="shared" si="22"/>
        <v>74</v>
      </c>
      <c r="V13" s="210">
        <f>W13</f>
        <v>0</v>
      </c>
      <c r="W13" s="309"/>
      <c r="X13" s="386">
        <f>IF((W14-W12)&lt;0,"0",(W14-W12))</f>
        <v>0</v>
      </c>
      <c r="Y13" s="210">
        <f t="shared" si="6"/>
        <v>96895</v>
      </c>
      <c r="Z13" s="309">
        <v>96930</v>
      </c>
      <c r="AA13" s="386">
        <f t="shared" si="16"/>
        <v>35</v>
      </c>
      <c r="AB13" s="483">
        <f t="shared" si="23"/>
        <v>23213</v>
      </c>
      <c r="AC13" s="484">
        <v>23213</v>
      </c>
      <c r="AD13" s="486">
        <f t="shared" si="24"/>
        <v>0</v>
      </c>
      <c r="AE13" s="210">
        <f t="shared" si="27"/>
        <v>0</v>
      </c>
      <c r="AF13" s="310"/>
      <c r="AG13" s="386">
        <f t="shared" si="17"/>
        <v>0</v>
      </c>
      <c r="AH13" s="210">
        <f t="shared" si="8"/>
        <v>37722</v>
      </c>
      <c r="AI13" s="310">
        <v>37757</v>
      </c>
      <c r="AJ13" s="386">
        <f t="shared" si="18"/>
        <v>35</v>
      </c>
      <c r="AK13" s="210">
        <f t="shared" si="9"/>
        <v>0</v>
      </c>
      <c r="AL13" s="309"/>
      <c r="AM13" s="386">
        <f t="shared" si="19"/>
        <v>0</v>
      </c>
      <c r="AN13" s="695">
        <f t="shared" si="28"/>
        <v>144</v>
      </c>
    </row>
    <row r="14" spans="1:40" ht="23.1" customHeight="1" x14ac:dyDescent="0.3">
      <c r="A14" s="46">
        <f>Gen!B19</f>
        <v>44539</v>
      </c>
      <c r="B14" s="4"/>
      <c r="C14" s="78">
        <f t="shared" si="0"/>
        <v>275351</v>
      </c>
      <c r="D14" s="1">
        <v>275416</v>
      </c>
      <c r="E14" s="47">
        <f t="shared" si="20"/>
        <v>65</v>
      </c>
      <c r="F14" s="78">
        <f t="shared" si="1"/>
        <v>0</v>
      </c>
      <c r="G14" s="768"/>
      <c r="H14" s="385">
        <f>IF((G14-G13)&lt;0,"0",(G14-G13))</f>
        <v>0</v>
      </c>
      <c r="I14" s="78">
        <f t="shared" si="2"/>
        <v>8903</v>
      </c>
      <c r="J14" s="1">
        <v>8905</v>
      </c>
      <c r="K14" s="385">
        <f t="shared" ref="K14:K27" si="29">IF((J14-J13)&lt;0,"0",(J14-J13))</f>
        <v>2</v>
      </c>
      <c r="L14" s="78">
        <f t="shared" si="3"/>
        <v>0</v>
      </c>
      <c r="M14" s="1"/>
      <c r="N14" s="385">
        <f t="shared" si="12"/>
        <v>0</v>
      </c>
      <c r="O14" s="78">
        <f t="shared" si="4"/>
        <v>22751</v>
      </c>
      <c r="P14" s="758">
        <v>22754</v>
      </c>
      <c r="Q14" s="385">
        <f t="shared" si="13"/>
        <v>3</v>
      </c>
      <c r="R14" s="889">
        <f t="shared" si="21"/>
        <v>5</v>
      </c>
      <c r="S14" s="210">
        <f t="shared" si="14"/>
        <v>80059</v>
      </c>
      <c r="T14" s="759">
        <v>80127</v>
      </c>
      <c r="U14" s="386">
        <f t="shared" si="22"/>
        <v>68</v>
      </c>
      <c r="V14" s="210">
        <f>W14</f>
        <v>0</v>
      </c>
      <c r="W14" s="309"/>
      <c r="X14" s="386">
        <f>IF((W15-W13)&lt;0,"0",(W15-W13))</f>
        <v>0</v>
      </c>
      <c r="Y14" s="210">
        <f t="shared" si="6"/>
        <v>96930</v>
      </c>
      <c r="Z14" s="309">
        <v>96964</v>
      </c>
      <c r="AA14" s="386">
        <f>IF((Z14-Z13)&lt;0,"0",(Z14-Z13))</f>
        <v>34</v>
      </c>
      <c r="AB14" s="483">
        <f t="shared" si="23"/>
        <v>23213</v>
      </c>
      <c r="AC14" s="484">
        <v>23213</v>
      </c>
      <c r="AD14" s="486">
        <f t="shared" si="24"/>
        <v>0</v>
      </c>
      <c r="AE14" s="210">
        <f t="shared" si="27"/>
        <v>0</v>
      </c>
      <c r="AF14" s="310"/>
      <c r="AG14" s="386">
        <f t="shared" si="17"/>
        <v>0</v>
      </c>
      <c r="AH14" s="210">
        <f t="shared" si="8"/>
        <v>37757</v>
      </c>
      <c r="AI14" s="310">
        <v>37790</v>
      </c>
      <c r="AJ14" s="386">
        <f t="shared" si="18"/>
        <v>33</v>
      </c>
      <c r="AK14" s="210">
        <f t="shared" si="9"/>
        <v>0</v>
      </c>
      <c r="AL14" s="309"/>
      <c r="AM14" s="386">
        <f t="shared" si="19"/>
        <v>0</v>
      </c>
      <c r="AN14" s="695">
        <f>U14+X14+AA14+AD14+AG14+AJ14+AM14</f>
        <v>135</v>
      </c>
    </row>
    <row r="15" spans="1:40" ht="23.1" customHeight="1" x14ac:dyDescent="0.3">
      <c r="A15" s="46">
        <f>Gen!B20</f>
        <v>44540</v>
      </c>
      <c r="B15" s="4"/>
      <c r="C15" s="78">
        <f t="shared" si="0"/>
        <v>275416</v>
      </c>
      <c r="D15" s="1">
        <v>275487</v>
      </c>
      <c r="E15" s="47">
        <f t="shared" si="20"/>
        <v>71</v>
      </c>
      <c r="F15" s="78">
        <f t="shared" si="1"/>
        <v>0</v>
      </c>
      <c r="G15" s="768"/>
      <c r="H15" s="385">
        <f t="shared" ref="H15:H17" si="30">IF((G15-G14)&lt;0,"0",(G15-G14))</f>
        <v>0</v>
      </c>
      <c r="I15" s="78">
        <f t="shared" si="2"/>
        <v>8905</v>
      </c>
      <c r="J15" s="1">
        <v>8906</v>
      </c>
      <c r="K15" s="385">
        <f t="shared" si="29"/>
        <v>1</v>
      </c>
      <c r="L15" s="78">
        <f t="shared" si="3"/>
        <v>0</v>
      </c>
      <c r="M15" s="1"/>
      <c r="N15" s="385">
        <f t="shared" si="12"/>
        <v>0</v>
      </c>
      <c r="O15" s="78">
        <f t="shared" si="4"/>
        <v>22754</v>
      </c>
      <c r="P15" s="758">
        <v>22760</v>
      </c>
      <c r="Q15" s="385">
        <f t="shared" si="13"/>
        <v>6</v>
      </c>
      <c r="R15" s="889">
        <f t="shared" si="21"/>
        <v>7</v>
      </c>
      <c r="S15" s="210">
        <f t="shared" si="14"/>
        <v>80127</v>
      </c>
      <c r="T15" s="759">
        <v>80200</v>
      </c>
      <c r="U15" s="386">
        <f t="shared" si="22"/>
        <v>73</v>
      </c>
      <c r="V15" s="210">
        <f t="shared" si="5"/>
        <v>0</v>
      </c>
      <c r="W15" s="309"/>
      <c r="X15" s="386">
        <f t="shared" si="15"/>
        <v>0</v>
      </c>
      <c r="Y15" s="210">
        <f t="shared" si="6"/>
        <v>96964</v>
      </c>
      <c r="Z15" s="309">
        <v>97001</v>
      </c>
      <c r="AA15" s="386">
        <f t="shared" si="16"/>
        <v>37</v>
      </c>
      <c r="AB15" s="483">
        <f t="shared" si="23"/>
        <v>23213</v>
      </c>
      <c r="AC15" s="484">
        <v>23213</v>
      </c>
      <c r="AD15" s="486">
        <f t="shared" si="24"/>
        <v>0</v>
      </c>
      <c r="AE15" s="210">
        <f t="shared" si="27"/>
        <v>0</v>
      </c>
      <c r="AF15" s="310"/>
      <c r="AG15" s="386">
        <f t="shared" si="17"/>
        <v>0</v>
      </c>
      <c r="AH15" s="210">
        <f t="shared" si="8"/>
        <v>37790</v>
      </c>
      <c r="AI15" s="310">
        <v>37826</v>
      </c>
      <c r="AJ15" s="386">
        <f t="shared" si="18"/>
        <v>36</v>
      </c>
      <c r="AK15" s="210">
        <f t="shared" si="9"/>
        <v>0</v>
      </c>
      <c r="AL15" s="309"/>
      <c r="AM15" s="386">
        <f t="shared" si="19"/>
        <v>0</v>
      </c>
      <c r="AN15" s="695">
        <f t="shared" si="28"/>
        <v>146</v>
      </c>
    </row>
    <row r="16" spans="1:40" ht="23.1" customHeight="1" x14ac:dyDescent="0.3">
      <c r="A16" s="46">
        <f>Gen!B21</f>
        <v>44541</v>
      </c>
      <c r="B16" s="4"/>
      <c r="C16" s="78">
        <f t="shared" si="0"/>
        <v>275487</v>
      </c>
      <c r="D16" s="1">
        <v>275559</v>
      </c>
      <c r="E16" s="47">
        <f>IF((D16-D15)&lt;0,"0",(D16-D15))</f>
        <v>72</v>
      </c>
      <c r="F16" s="78">
        <f t="shared" si="1"/>
        <v>0</v>
      </c>
      <c r="G16" s="768"/>
      <c r="H16" s="385">
        <f t="shared" si="30"/>
        <v>0</v>
      </c>
      <c r="I16" s="78">
        <f t="shared" si="2"/>
        <v>8906</v>
      </c>
      <c r="J16" s="1">
        <v>8908</v>
      </c>
      <c r="K16" s="385">
        <f t="shared" si="29"/>
        <v>2</v>
      </c>
      <c r="L16" s="78">
        <f t="shared" si="3"/>
        <v>0</v>
      </c>
      <c r="M16" s="1"/>
      <c r="N16" s="385">
        <f t="shared" si="12"/>
        <v>0</v>
      </c>
      <c r="O16" s="78">
        <f t="shared" si="4"/>
        <v>22760</v>
      </c>
      <c r="P16" s="758">
        <v>22764</v>
      </c>
      <c r="Q16" s="385">
        <f t="shared" si="13"/>
        <v>4</v>
      </c>
      <c r="R16" s="889">
        <f t="shared" si="21"/>
        <v>6</v>
      </c>
      <c r="S16" s="210">
        <f t="shared" si="14"/>
        <v>80200</v>
      </c>
      <c r="T16" s="759">
        <v>80269</v>
      </c>
      <c r="U16" s="386">
        <f t="shared" si="22"/>
        <v>69</v>
      </c>
      <c r="V16" s="210">
        <f t="shared" si="5"/>
        <v>0</v>
      </c>
      <c r="W16" s="309"/>
      <c r="X16" s="386">
        <f t="shared" si="15"/>
        <v>0</v>
      </c>
      <c r="Y16" s="210">
        <f t="shared" si="6"/>
        <v>97001</v>
      </c>
      <c r="Z16" s="309">
        <v>97037</v>
      </c>
      <c r="AA16" s="386">
        <f t="shared" si="16"/>
        <v>36</v>
      </c>
      <c r="AB16" s="483">
        <f t="shared" si="23"/>
        <v>23213</v>
      </c>
      <c r="AC16" s="484">
        <v>23213</v>
      </c>
      <c r="AD16" s="486">
        <f t="shared" si="24"/>
        <v>0</v>
      </c>
      <c r="AE16" s="210">
        <f t="shared" si="27"/>
        <v>0</v>
      </c>
      <c r="AF16" s="310"/>
      <c r="AG16" s="386">
        <f t="shared" si="17"/>
        <v>0</v>
      </c>
      <c r="AH16" s="210">
        <f t="shared" si="8"/>
        <v>37826</v>
      </c>
      <c r="AI16" s="310">
        <v>37861</v>
      </c>
      <c r="AJ16" s="386">
        <f t="shared" si="18"/>
        <v>35</v>
      </c>
      <c r="AK16" s="210">
        <f t="shared" si="9"/>
        <v>0</v>
      </c>
      <c r="AL16" s="309"/>
      <c r="AM16" s="386">
        <f t="shared" si="19"/>
        <v>0</v>
      </c>
      <c r="AN16" s="695">
        <f t="shared" si="28"/>
        <v>140</v>
      </c>
    </row>
    <row r="17" spans="1:40" ht="23.1" customHeight="1" x14ac:dyDescent="0.3">
      <c r="A17" s="46">
        <f>Gen!B22</f>
        <v>44542</v>
      </c>
      <c r="B17" s="4"/>
      <c r="C17" s="78">
        <f t="shared" si="0"/>
        <v>275559</v>
      </c>
      <c r="D17" s="1">
        <v>275624</v>
      </c>
      <c r="E17" s="385">
        <f>IF((D17-D16)&lt;0,"0",(D17-D16))</f>
        <v>65</v>
      </c>
      <c r="F17" s="78">
        <f t="shared" si="1"/>
        <v>0</v>
      </c>
      <c r="G17" s="768"/>
      <c r="H17" s="385">
        <f t="shared" si="30"/>
        <v>0</v>
      </c>
      <c r="I17" s="78">
        <f t="shared" si="2"/>
        <v>8908</v>
      </c>
      <c r="J17" s="1">
        <v>8910</v>
      </c>
      <c r="K17" s="385">
        <f t="shared" si="29"/>
        <v>2</v>
      </c>
      <c r="L17" s="78">
        <f t="shared" si="3"/>
        <v>0</v>
      </c>
      <c r="M17" s="1"/>
      <c r="N17" s="385">
        <f t="shared" si="12"/>
        <v>0</v>
      </c>
      <c r="O17" s="78">
        <f t="shared" si="4"/>
        <v>22764</v>
      </c>
      <c r="P17" s="758">
        <v>22769</v>
      </c>
      <c r="Q17" s="385">
        <f t="shared" si="13"/>
        <v>5</v>
      </c>
      <c r="R17" s="889">
        <f t="shared" si="21"/>
        <v>7</v>
      </c>
      <c r="S17" s="210">
        <f t="shared" si="14"/>
        <v>80269</v>
      </c>
      <c r="T17" s="759">
        <v>80338</v>
      </c>
      <c r="U17" s="386">
        <f t="shared" si="22"/>
        <v>69</v>
      </c>
      <c r="V17" s="210">
        <f t="shared" si="5"/>
        <v>0</v>
      </c>
      <c r="W17" s="309"/>
      <c r="X17" s="386">
        <f>IF((W17-W16)&lt;0,"0",(W17-W16))</f>
        <v>0</v>
      </c>
      <c r="Y17" s="210">
        <f t="shared" si="6"/>
        <v>97037</v>
      </c>
      <c r="Z17" s="309">
        <v>97074</v>
      </c>
      <c r="AA17" s="386">
        <f t="shared" si="16"/>
        <v>37</v>
      </c>
      <c r="AB17" s="483">
        <f t="shared" si="23"/>
        <v>23213</v>
      </c>
      <c r="AC17" s="484">
        <v>23213</v>
      </c>
      <c r="AD17" s="486">
        <f t="shared" si="24"/>
        <v>0</v>
      </c>
      <c r="AE17" s="210">
        <f t="shared" si="27"/>
        <v>0</v>
      </c>
      <c r="AF17" s="310"/>
      <c r="AG17" s="386">
        <f t="shared" si="17"/>
        <v>0</v>
      </c>
      <c r="AH17" s="210">
        <f t="shared" si="8"/>
        <v>37861</v>
      </c>
      <c r="AI17" s="310">
        <v>37896</v>
      </c>
      <c r="AJ17" s="386">
        <f t="shared" si="18"/>
        <v>35</v>
      </c>
      <c r="AK17" s="210">
        <f t="shared" si="9"/>
        <v>0</v>
      </c>
      <c r="AL17" s="309"/>
      <c r="AM17" s="386">
        <f>IF((AL17-AL16)&lt;0,"0",(AL17-AL16))</f>
        <v>0</v>
      </c>
      <c r="AN17" s="695">
        <f t="shared" si="28"/>
        <v>141</v>
      </c>
    </row>
    <row r="18" spans="1:40" ht="23.1" customHeight="1" x14ac:dyDescent="0.3">
      <c r="A18" s="46">
        <f>Gen!B23</f>
        <v>44543</v>
      </c>
      <c r="B18" s="4"/>
      <c r="C18" s="78">
        <f t="shared" si="0"/>
        <v>275624</v>
      </c>
      <c r="D18" s="1">
        <v>275692</v>
      </c>
      <c r="E18" s="385">
        <f t="shared" ref="E18:E37" si="31">IF((D18-D17)&lt;0,"0",(D18-D17))</f>
        <v>68</v>
      </c>
      <c r="F18" s="78">
        <f t="shared" si="1"/>
        <v>0</v>
      </c>
      <c r="G18" s="768"/>
      <c r="H18" s="385">
        <f t="shared" si="10"/>
        <v>0</v>
      </c>
      <c r="I18" s="78"/>
      <c r="J18" s="1">
        <v>8913</v>
      </c>
      <c r="K18" s="385">
        <f t="shared" si="29"/>
        <v>3</v>
      </c>
      <c r="L18" s="78">
        <f t="shared" si="3"/>
        <v>0</v>
      </c>
      <c r="M18" s="1"/>
      <c r="N18" s="385">
        <f t="shared" si="12"/>
        <v>0</v>
      </c>
      <c r="O18" s="78">
        <f t="shared" si="4"/>
        <v>22769</v>
      </c>
      <c r="P18" s="758">
        <v>22776</v>
      </c>
      <c r="Q18" s="385">
        <f t="shared" si="13"/>
        <v>7</v>
      </c>
      <c r="R18" s="889">
        <f t="shared" si="21"/>
        <v>10</v>
      </c>
      <c r="S18" s="905">
        <f>T17</f>
        <v>80338</v>
      </c>
      <c r="T18" s="759">
        <v>80407</v>
      </c>
      <c r="U18" s="386">
        <f t="shared" si="22"/>
        <v>69</v>
      </c>
      <c r="V18" s="210">
        <f t="shared" si="5"/>
        <v>0</v>
      </c>
      <c r="W18" s="309"/>
      <c r="X18" s="386">
        <f t="shared" si="15"/>
        <v>0</v>
      </c>
      <c r="Y18" s="210">
        <f t="shared" si="6"/>
        <v>97074</v>
      </c>
      <c r="Z18" s="309">
        <v>97113</v>
      </c>
      <c r="AA18" s="386">
        <f t="shared" si="16"/>
        <v>39</v>
      </c>
      <c r="AB18" s="483">
        <f t="shared" si="23"/>
        <v>23213</v>
      </c>
      <c r="AC18" s="484">
        <v>23213</v>
      </c>
      <c r="AD18" s="486">
        <f t="shared" si="24"/>
        <v>0</v>
      </c>
      <c r="AE18" s="210">
        <f t="shared" si="27"/>
        <v>0</v>
      </c>
      <c r="AF18" s="310"/>
      <c r="AG18" s="386">
        <f t="shared" si="17"/>
        <v>0</v>
      </c>
      <c r="AH18" s="210">
        <f>AI17</f>
        <v>37896</v>
      </c>
      <c r="AI18" s="310">
        <v>37934</v>
      </c>
      <c r="AJ18" s="386">
        <f t="shared" si="18"/>
        <v>38</v>
      </c>
      <c r="AK18" s="210">
        <f t="shared" si="9"/>
        <v>0</v>
      </c>
      <c r="AL18" s="309"/>
      <c r="AM18" s="386">
        <f t="shared" ref="AM18:AM26" si="32">IF((AL18-AL17)&lt;0,"0",(AL18-AL17))</f>
        <v>0</v>
      </c>
      <c r="AN18" s="695">
        <f t="shared" si="28"/>
        <v>146</v>
      </c>
    </row>
    <row r="19" spans="1:40" ht="23.1" customHeight="1" x14ac:dyDescent="0.3">
      <c r="A19" s="46">
        <f>Gen!B24</f>
        <v>44544</v>
      </c>
      <c r="B19" s="4"/>
      <c r="C19" s="78">
        <f t="shared" si="0"/>
        <v>275692</v>
      </c>
      <c r="D19" s="1">
        <v>275770</v>
      </c>
      <c r="E19" s="385">
        <f t="shared" si="31"/>
        <v>78</v>
      </c>
      <c r="F19" s="78">
        <f t="shared" si="1"/>
        <v>0</v>
      </c>
      <c r="G19" s="768"/>
      <c r="H19" s="385">
        <f t="shared" si="10"/>
        <v>0</v>
      </c>
      <c r="I19" s="78">
        <f t="shared" si="2"/>
        <v>8913</v>
      </c>
      <c r="J19" s="1">
        <v>8916</v>
      </c>
      <c r="K19" s="385">
        <f t="shared" si="29"/>
        <v>3</v>
      </c>
      <c r="L19" s="78">
        <f t="shared" si="3"/>
        <v>0</v>
      </c>
      <c r="M19" s="1"/>
      <c r="N19" s="385">
        <f t="shared" si="12"/>
        <v>0</v>
      </c>
      <c r="O19" s="78">
        <f t="shared" si="4"/>
        <v>22776</v>
      </c>
      <c r="P19" s="758">
        <v>22784</v>
      </c>
      <c r="Q19" s="385">
        <f t="shared" si="13"/>
        <v>8</v>
      </c>
      <c r="R19" s="889">
        <f t="shared" si="21"/>
        <v>11</v>
      </c>
      <c r="S19" s="210">
        <f t="shared" si="14"/>
        <v>80407</v>
      </c>
      <c r="T19" s="759">
        <v>80475</v>
      </c>
      <c r="U19" s="386">
        <f t="shared" si="22"/>
        <v>68</v>
      </c>
      <c r="V19" s="210">
        <f t="shared" si="5"/>
        <v>0</v>
      </c>
      <c r="W19" s="309"/>
      <c r="X19" s="386">
        <f t="shared" si="15"/>
        <v>0</v>
      </c>
      <c r="Y19" s="210">
        <f t="shared" si="6"/>
        <v>97113</v>
      </c>
      <c r="Z19" s="309">
        <v>97145</v>
      </c>
      <c r="AA19" s="386">
        <f t="shared" si="16"/>
        <v>32</v>
      </c>
      <c r="AB19" s="483">
        <f t="shared" si="23"/>
        <v>23213</v>
      </c>
      <c r="AC19" s="484">
        <v>23233</v>
      </c>
      <c r="AD19" s="486">
        <f t="shared" si="24"/>
        <v>20</v>
      </c>
      <c r="AE19" s="210">
        <f t="shared" si="27"/>
        <v>0</v>
      </c>
      <c r="AF19" s="310"/>
      <c r="AG19" s="386">
        <f t="shared" si="17"/>
        <v>0</v>
      </c>
      <c r="AH19" s="210">
        <f>AI18</f>
        <v>37934</v>
      </c>
      <c r="AI19" s="310">
        <v>37969</v>
      </c>
      <c r="AJ19" s="386">
        <f t="shared" si="18"/>
        <v>35</v>
      </c>
      <c r="AK19" s="210">
        <f t="shared" si="9"/>
        <v>0</v>
      </c>
      <c r="AL19" s="309"/>
      <c r="AM19" s="386">
        <f t="shared" si="32"/>
        <v>0</v>
      </c>
      <c r="AN19" s="695">
        <f t="shared" si="28"/>
        <v>155</v>
      </c>
    </row>
    <row r="20" spans="1:40" ht="23.1" customHeight="1" x14ac:dyDescent="0.3">
      <c r="A20" s="46">
        <f>Gen!B25</f>
        <v>44545</v>
      </c>
      <c r="B20" s="4"/>
      <c r="C20" s="78">
        <f t="shared" si="0"/>
        <v>275770</v>
      </c>
      <c r="D20" s="1">
        <v>275842</v>
      </c>
      <c r="E20" s="385">
        <f t="shared" si="31"/>
        <v>72</v>
      </c>
      <c r="F20" s="78">
        <f t="shared" si="1"/>
        <v>0</v>
      </c>
      <c r="G20" s="768"/>
      <c r="H20" s="385">
        <f t="shared" si="10"/>
        <v>0</v>
      </c>
      <c r="I20" s="78">
        <f t="shared" si="2"/>
        <v>8916</v>
      </c>
      <c r="J20" s="1">
        <v>8918</v>
      </c>
      <c r="K20" s="385">
        <f t="shared" si="29"/>
        <v>2</v>
      </c>
      <c r="L20" s="78">
        <f t="shared" si="3"/>
        <v>0</v>
      </c>
      <c r="M20" s="1"/>
      <c r="N20" s="385">
        <f t="shared" si="12"/>
        <v>0</v>
      </c>
      <c r="O20" s="78">
        <f>P19</f>
        <v>22784</v>
      </c>
      <c r="P20" s="758">
        <v>22789</v>
      </c>
      <c r="Q20" s="385">
        <f t="shared" si="13"/>
        <v>5</v>
      </c>
      <c r="R20" s="889">
        <f t="shared" si="21"/>
        <v>7</v>
      </c>
      <c r="S20" s="210">
        <f t="shared" si="14"/>
        <v>80475</v>
      </c>
      <c r="T20" s="759">
        <v>80475</v>
      </c>
      <c r="U20" s="386">
        <f t="shared" si="22"/>
        <v>0</v>
      </c>
      <c r="V20" s="210">
        <f t="shared" si="5"/>
        <v>0</v>
      </c>
      <c r="W20" s="309"/>
      <c r="X20" s="386">
        <f t="shared" si="15"/>
        <v>0</v>
      </c>
      <c r="Y20" s="210">
        <f t="shared" si="6"/>
        <v>97145</v>
      </c>
      <c r="Z20" s="309">
        <v>97190</v>
      </c>
      <c r="AA20" s="386">
        <f>IF((Z20-Z19)&lt;0,"0",(Z20-Z19))</f>
        <v>45</v>
      </c>
      <c r="AB20" s="483">
        <f t="shared" si="23"/>
        <v>23233</v>
      </c>
      <c r="AC20" s="484">
        <v>23253</v>
      </c>
      <c r="AD20" s="486">
        <f t="shared" si="24"/>
        <v>20</v>
      </c>
      <c r="AE20" s="210">
        <f t="shared" si="27"/>
        <v>0</v>
      </c>
      <c r="AF20" s="310"/>
      <c r="AG20" s="386">
        <f t="shared" si="17"/>
        <v>0</v>
      </c>
      <c r="AH20" s="210">
        <f t="shared" si="8"/>
        <v>37969</v>
      </c>
      <c r="AI20" s="310">
        <v>38006</v>
      </c>
      <c r="AJ20" s="386">
        <f>IF((AI20-AI19)&lt;0,"0",(AI20-AI19))</f>
        <v>37</v>
      </c>
      <c r="AK20" s="210">
        <f t="shared" si="9"/>
        <v>0</v>
      </c>
      <c r="AL20" s="309"/>
      <c r="AM20" s="386">
        <f t="shared" si="32"/>
        <v>0</v>
      </c>
      <c r="AN20" s="695">
        <f t="shared" si="28"/>
        <v>102</v>
      </c>
    </row>
    <row r="21" spans="1:40" ht="23.1" customHeight="1" x14ac:dyDescent="0.3">
      <c r="A21" s="46">
        <f>Gen!B26</f>
        <v>44546</v>
      </c>
      <c r="B21" s="4"/>
      <c r="C21" s="78">
        <f t="shared" si="0"/>
        <v>275842</v>
      </c>
      <c r="D21" s="1">
        <v>275915</v>
      </c>
      <c r="E21" s="385">
        <f t="shared" si="31"/>
        <v>73</v>
      </c>
      <c r="F21" s="78">
        <f t="shared" si="1"/>
        <v>0</v>
      </c>
      <c r="G21" s="768"/>
      <c r="H21" s="385">
        <f t="shared" si="10"/>
        <v>0</v>
      </c>
      <c r="I21" s="78">
        <f t="shared" si="2"/>
        <v>8918</v>
      </c>
      <c r="J21" s="1">
        <v>8920</v>
      </c>
      <c r="K21" s="385">
        <f t="shared" si="29"/>
        <v>2</v>
      </c>
      <c r="L21" s="78">
        <f t="shared" si="3"/>
        <v>0</v>
      </c>
      <c r="M21" s="1"/>
      <c r="N21" s="385">
        <f t="shared" si="12"/>
        <v>0</v>
      </c>
      <c r="O21" s="78">
        <f t="shared" si="4"/>
        <v>22789</v>
      </c>
      <c r="P21" s="758">
        <v>22794</v>
      </c>
      <c r="Q21" s="385">
        <f t="shared" si="13"/>
        <v>5</v>
      </c>
      <c r="R21" s="889">
        <f t="shared" si="21"/>
        <v>7</v>
      </c>
      <c r="S21" s="210">
        <f t="shared" si="14"/>
        <v>80475</v>
      </c>
      <c r="T21" s="759">
        <v>80475</v>
      </c>
      <c r="U21" s="386">
        <f t="shared" si="22"/>
        <v>0</v>
      </c>
      <c r="V21" s="732">
        <f>W20</f>
        <v>0</v>
      </c>
      <c r="W21" s="309"/>
      <c r="X21" s="386">
        <f t="shared" si="15"/>
        <v>0</v>
      </c>
      <c r="Y21" s="210">
        <f t="shared" si="6"/>
        <v>97190</v>
      </c>
      <c r="Z21" s="309">
        <v>97225</v>
      </c>
      <c r="AA21" s="386">
        <f t="shared" si="16"/>
        <v>35</v>
      </c>
      <c r="AB21" s="483">
        <f t="shared" si="23"/>
        <v>23253</v>
      </c>
      <c r="AC21" s="484">
        <v>23270</v>
      </c>
      <c r="AD21" s="486">
        <f t="shared" si="24"/>
        <v>17</v>
      </c>
      <c r="AE21" s="210">
        <f t="shared" si="7"/>
        <v>0</v>
      </c>
      <c r="AF21" s="310"/>
      <c r="AG21" s="386">
        <f t="shared" si="17"/>
        <v>0</v>
      </c>
      <c r="AH21" s="210">
        <f t="shared" si="8"/>
        <v>38006</v>
      </c>
      <c r="AI21" s="310">
        <v>38045</v>
      </c>
      <c r="AJ21" s="386">
        <f t="shared" si="18"/>
        <v>39</v>
      </c>
      <c r="AK21" s="210">
        <f t="shared" si="9"/>
        <v>0</v>
      </c>
      <c r="AL21" s="309"/>
      <c r="AM21" s="386">
        <f t="shared" si="32"/>
        <v>0</v>
      </c>
      <c r="AN21" s="695">
        <f t="shared" si="28"/>
        <v>91</v>
      </c>
    </row>
    <row r="22" spans="1:40" ht="23.1" customHeight="1" x14ac:dyDescent="0.3">
      <c r="A22" s="46">
        <f>Gen!B27</f>
        <v>44547</v>
      </c>
      <c r="B22" s="4"/>
      <c r="C22" s="78">
        <f t="shared" si="0"/>
        <v>275915</v>
      </c>
      <c r="D22" s="1">
        <v>275988</v>
      </c>
      <c r="E22" s="385">
        <f t="shared" si="31"/>
        <v>73</v>
      </c>
      <c r="F22" s="78">
        <f t="shared" si="1"/>
        <v>0</v>
      </c>
      <c r="G22" s="768"/>
      <c r="H22" s="385">
        <f t="shared" si="10"/>
        <v>0</v>
      </c>
      <c r="I22" s="78">
        <f t="shared" si="2"/>
        <v>8920</v>
      </c>
      <c r="J22" s="1">
        <v>8922</v>
      </c>
      <c r="K22" s="385">
        <f t="shared" si="29"/>
        <v>2</v>
      </c>
      <c r="L22" s="78">
        <f t="shared" si="3"/>
        <v>0</v>
      </c>
      <c r="M22" s="1"/>
      <c r="N22" s="385">
        <f t="shared" si="12"/>
        <v>0</v>
      </c>
      <c r="O22" s="78">
        <f t="shared" si="4"/>
        <v>22794</v>
      </c>
      <c r="P22" s="758">
        <v>22798</v>
      </c>
      <c r="Q22" s="385">
        <f t="shared" si="13"/>
        <v>4</v>
      </c>
      <c r="R22" s="889">
        <f t="shared" si="21"/>
        <v>6</v>
      </c>
      <c r="S22" s="210">
        <f t="shared" si="14"/>
        <v>80475</v>
      </c>
      <c r="T22" s="759">
        <v>80475</v>
      </c>
      <c r="U22" s="386">
        <f t="shared" si="22"/>
        <v>0</v>
      </c>
      <c r="V22" s="210">
        <f t="shared" ref="V22:V37" si="33">W21</f>
        <v>0</v>
      </c>
      <c r="W22" s="309"/>
      <c r="X22" s="386">
        <f t="shared" si="15"/>
        <v>0</v>
      </c>
      <c r="Y22" s="210">
        <f t="shared" si="6"/>
        <v>97225</v>
      </c>
      <c r="Z22" s="309">
        <v>97265</v>
      </c>
      <c r="AA22" s="386">
        <f t="shared" si="16"/>
        <v>40</v>
      </c>
      <c r="AB22" s="483">
        <f t="shared" si="23"/>
        <v>23270</v>
      </c>
      <c r="AC22" s="484">
        <v>23309</v>
      </c>
      <c r="AD22" s="486">
        <f t="shared" si="24"/>
        <v>39</v>
      </c>
      <c r="AE22" s="210">
        <f t="shared" si="7"/>
        <v>0</v>
      </c>
      <c r="AF22" s="310"/>
      <c r="AG22" s="386">
        <f t="shared" si="17"/>
        <v>0</v>
      </c>
      <c r="AH22" s="210">
        <f t="shared" si="8"/>
        <v>38045</v>
      </c>
      <c r="AI22" s="310">
        <v>38075</v>
      </c>
      <c r="AJ22" s="386">
        <f t="shared" si="18"/>
        <v>30</v>
      </c>
      <c r="AK22" s="210">
        <f t="shared" si="9"/>
        <v>0</v>
      </c>
      <c r="AL22" s="309"/>
      <c r="AM22" s="386">
        <f t="shared" si="32"/>
        <v>0</v>
      </c>
      <c r="AN22" s="695">
        <f t="shared" si="28"/>
        <v>109</v>
      </c>
    </row>
    <row r="23" spans="1:40" ht="23.1" customHeight="1" x14ac:dyDescent="0.3">
      <c r="A23" s="46">
        <f>Gen!B28</f>
        <v>44548</v>
      </c>
      <c r="B23" s="4"/>
      <c r="C23" s="78">
        <f t="shared" si="0"/>
        <v>275988</v>
      </c>
      <c r="D23" s="1">
        <v>276073</v>
      </c>
      <c r="E23" s="385">
        <f t="shared" si="31"/>
        <v>85</v>
      </c>
      <c r="F23" s="78">
        <f t="shared" si="1"/>
        <v>0</v>
      </c>
      <c r="G23" s="768"/>
      <c r="H23" s="385">
        <f t="shared" si="10"/>
        <v>0</v>
      </c>
      <c r="I23" s="78">
        <f t="shared" si="2"/>
        <v>8922</v>
      </c>
      <c r="J23" s="1">
        <v>8925</v>
      </c>
      <c r="K23" s="385">
        <f t="shared" si="29"/>
        <v>3</v>
      </c>
      <c r="L23" s="78">
        <f t="shared" si="3"/>
        <v>0</v>
      </c>
      <c r="M23" s="1"/>
      <c r="N23" s="385">
        <f t="shared" si="12"/>
        <v>0</v>
      </c>
      <c r="O23" s="78">
        <f t="shared" si="4"/>
        <v>22798</v>
      </c>
      <c r="P23" s="758">
        <v>22806</v>
      </c>
      <c r="Q23" s="385">
        <f>IF((P23-P22)&lt;0,"0",(P23-P22))</f>
        <v>8</v>
      </c>
      <c r="R23" s="889">
        <f t="shared" si="21"/>
        <v>11</v>
      </c>
      <c r="S23" s="210">
        <f t="shared" si="14"/>
        <v>80475</v>
      </c>
      <c r="T23" s="759">
        <v>80475</v>
      </c>
      <c r="U23" s="386">
        <f t="shared" si="22"/>
        <v>0</v>
      </c>
      <c r="V23" s="210">
        <f t="shared" si="33"/>
        <v>0</v>
      </c>
      <c r="W23" s="309"/>
      <c r="X23" s="386">
        <f t="shared" si="15"/>
        <v>0</v>
      </c>
      <c r="Y23" s="210">
        <f t="shared" si="6"/>
        <v>97265</v>
      </c>
      <c r="Z23" s="309">
        <v>97303</v>
      </c>
      <c r="AA23" s="386">
        <f t="shared" si="16"/>
        <v>38</v>
      </c>
      <c r="AB23" s="483">
        <f t="shared" si="23"/>
        <v>23309</v>
      </c>
      <c r="AC23" s="484">
        <v>23347</v>
      </c>
      <c r="AD23" s="486">
        <f t="shared" si="24"/>
        <v>38</v>
      </c>
      <c r="AE23" s="210">
        <f t="shared" si="7"/>
        <v>0</v>
      </c>
      <c r="AF23" s="310"/>
      <c r="AG23" s="386">
        <f t="shared" si="17"/>
        <v>0</v>
      </c>
      <c r="AH23" s="210">
        <f t="shared" si="8"/>
        <v>38075</v>
      </c>
      <c r="AI23" s="310">
        <v>38108</v>
      </c>
      <c r="AJ23" s="386">
        <f t="shared" si="18"/>
        <v>33</v>
      </c>
      <c r="AK23" s="210">
        <f t="shared" si="9"/>
        <v>0</v>
      </c>
      <c r="AL23" s="309"/>
      <c r="AM23" s="386">
        <f t="shared" si="32"/>
        <v>0</v>
      </c>
      <c r="AN23" s="695">
        <f t="shared" si="28"/>
        <v>109</v>
      </c>
    </row>
    <row r="24" spans="1:40" ht="23.1" customHeight="1" x14ac:dyDescent="0.3">
      <c r="A24" s="46">
        <f>Gen!B29</f>
        <v>44549</v>
      </c>
      <c r="B24" s="4"/>
      <c r="C24" s="78">
        <f t="shared" si="0"/>
        <v>276073</v>
      </c>
      <c r="D24" s="1">
        <v>276153</v>
      </c>
      <c r="E24" s="385">
        <f t="shared" si="31"/>
        <v>80</v>
      </c>
      <c r="F24" s="78">
        <f t="shared" si="1"/>
        <v>0</v>
      </c>
      <c r="G24" s="768"/>
      <c r="H24" s="385">
        <f>IF((G24-G23)&lt;0,"0",(G24-G23))</f>
        <v>0</v>
      </c>
      <c r="I24" s="78">
        <f t="shared" si="2"/>
        <v>8925</v>
      </c>
      <c r="J24" s="1">
        <v>8928</v>
      </c>
      <c r="K24" s="385">
        <f t="shared" si="29"/>
        <v>3</v>
      </c>
      <c r="L24" s="78">
        <f t="shared" si="3"/>
        <v>0</v>
      </c>
      <c r="M24" s="1"/>
      <c r="N24" s="385">
        <f t="shared" si="12"/>
        <v>0</v>
      </c>
      <c r="O24" s="78">
        <f t="shared" si="4"/>
        <v>22806</v>
      </c>
      <c r="P24" s="758">
        <v>22812</v>
      </c>
      <c r="Q24" s="385">
        <f t="shared" si="13"/>
        <v>6</v>
      </c>
      <c r="R24" s="889">
        <f t="shared" si="21"/>
        <v>9</v>
      </c>
      <c r="S24" s="210">
        <f t="shared" si="14"/>
        <v>80475</v>
      </c>
      <c r="T24" s="759">
        <v>80475</v>
      </c>
      <c r="U24" s="386">
        <f t="shared" si="22"/>
        <v>0</v>
      </c>
      <c r="V24" s="210">
        <f t="shared" si="33"/>
        <v>0</v>
      </c>
      <c r="W24" s="309"/>
      <c r="X24" s="386">
        <f t="shared" si="15"/>
        <v>0</v>
      </c>
      <c r="Y24" s="210">
        <f t="shared" si="6"/>
        <v>97303</v>
      </c>
      <c r="Z24" s="309">
        <v>97344</v>
      </c>
      <c r="AA24" s="386">
        <f t="shared" si="16"/>
        <v>41</v>
      </c>
      <c r="AB24" s="483">
        <f t="shared" si="23"/>
        <v>23347</v>
      </c>
      <c r="AC24" s="484">
        <v>23386</v>
      </c>
      <c r="AD24" s="486">
        <f t="shared" si="24"/>
        <v>39</v>
      </c>
      <c r="AE24" s="210">
        <f t="shared" si="7"/>
        <v>0</v>
      </c>
      <c r="AF24" s="310"/>
      <c r="AG24" s="386">
        <f t="shared" si="17"/>
        <v>0</v>
      </c>
      <c r="AH24" s="210">
        <f t="shared" si="8"/>
        <v>38108</v>
      </c>
      <c r="AI24" s="310">
        <v>38143</v>
      </c>
      <c r="AJ24" s="386">
        <f t="shared" si="18"/>
        <v>35</v>
      </c>
      <c r="AK24" s="210">
        <f t="shared" si="9"/>
        <v>0</v>
      </c>
      <c r="AL24" s="309"/>
      <c r="AM24" s="386">
        <f t="shared" si="32"/>
        <v>0</v>
      </c>
      <c r="AN24" s="695">
        <f t="shared" si="28"/>
        <v>115</v>
      </c>
    </row>
    <row r="25" spans="1:40" ht="23.1" customHeight="1" x14ac:dyDescent="0.3">
      <c r="A25" s="46">
        <f>Gen!B30</f>
        <v>44550</v>
      </c>
      <c r="B25" s="4"/>
      <c r="C25" s="78">
        <f>D24</f>
        <v>276153</v>
      </c>
      <c r="D25" s="1">
        <v>276229</v>
      </c>
      <c r="E25" s="385">
        <f>IF((D25-D24)&lt;0,"0",(D25-D24))</f>
        <v>76</v>
      </c>
      <c r="F25" s="78">
        <f t="shared" si="1"/>
        <v>0</v>
      </c>
      <c r="G25" s="768"/>
      <c r="H25" s="385">
        <f>IF((G26-G24)&lt;0,"0",(G26-G24))</f>
        <v>0</v>
      </c>
      <c r="I25" s="78">
        <f t="shared" ref="I25:I37" si="34">J24</f>
        <v>8928</v>
      </c>
      <c r="J25" s="1">
        <v>8930</v>
      </c>
      <c r="K25" s="385">
        <f t="shared" si="29"/>
        <v>2</v>
      </c>
      <c r="L25" s="78">
        <f t="shared" ref="L25:L37" si="35">M24</f>
        <v>0</v>
      </c>
      <c r="M25" s="1"/>
      <c r="N25" s="385">
        <f t="shared" ref="N25:N37" si="36">IF((M25-M24)&lt;0,"0",(M25-M24))</f>
        <v>0</v>
      </c>
      <c r="O25" s="78">
        <f t="shared" si="4"/>
        <v>22812</v>
      </c>
      <c r="P25" s="758">
        <v>22817</v>
      </c>
      <c r="Q25" s="385">
        <f t="shared" si="13"/>
        <v>5</v>
      </c>
      <c r="R25" s="889">
        <f t="shared" si="21"/>
        <v>7</v>
      </c>
      <c r="S25" s="210">
        <f t="shared" si="14"/>
        <v>80475</v>
      </c>
      <c r="T25" s="759">
        <v>80475</v>
      </c>
      <c r="U25" s="386">
        <f t="shared" si="22"/>
        <v>0</v>
      </c>
      <c r="V25" s="210">
        <f t="shared" si="33"/>
        <v>0</v>
      </c>
      <c r="W25" s="309"/>
      <c r="X25" s="386">
        <f t="shared" si="15"/>
        <v>0</v>
      </c>
      <c r="Y25" s="210">
        <f t="shared" si="6"/>
        <v>97344</v>
      </c>
      <c r="Z25" s="309">
        <v>97383</v>
      </c>
      <c r="AA25" s="386">
        <f t="shared" si="16"/>
        <v>39</v>
      </c>
      <c r="AB25" s="483">
        <f>AC24</f>
        <v>23386</v>
      </c>
      <c r="AC25" s="484">
        <v>23411</v>
      </c>
      <c r="AD25" s="486">
        <f t="shared" si="24"/>
        <v>25</v>
      </c>
      <c r="AE25" s="210">
        <f t="shared" si="7"/>
        <v>0</v>
      </c>
      <c r="AF25" s="310"/>
      <c r="AG25" s="386">
        <f t="shared" si="17"/>
        <v>0</v>
      </c>
      <c r="AH25" s="210">
        <f t="shared" si="8"/>
        <v>38143</v>
      </c>
      <c r="AI25" s="310">
        <v>38181</v>
      </c>
      <c r="AJ25" s="386">
        <f t="shared" si="18"/>
        <v>38</v>
      </c>
      <c r="AK25" s="210">
        <f t="shared" si="9"/>
        <v>0</v>
      </c>
      <c r="AL25" s="309"/>
      <c r="AM25" s="386">
        <f t="shared" si="32"/>
        <v>0</v>
      </c>
      <c r="AN25" s="695">
        <f t="shared" si="28"/>
        <v>102</v>
      </c>
    </row>
    <row r="26" spans="1:40" ht="23.1" customHeight="1" x14ac:dyDescent="0.3">
      <c r="A26" s="46">
        <f>Gen!B31</f>
        <v>44551</v>
      </c>
      <c r="B26" s="4"/>
      <c r="C26" s="78">
        <f>D25</f>
        <v>276229</v>
      </c>
      <c r="D26" s="1">
        <v>276298</v>
      </c>
      <c r="E26" s="385">
        <f>IF((D26-D25)&lt;0,"0",(D26-D25))</f>
        <v>69</v>
      </c>
      <c r="F26" s="78">
        <f>G26</f>
        <v>0</v>
      </c>
      <c r="G26" s="768"/>
      <c r="H26" s="385">
        <f t="shared" ref="H26:H27" si="37">IF((G27-G25)&lt;0,"0",(G27-G25))</f>
        <v>0</v>
      </c>
      <c r="I26" s="78">
        <f t="shared" si="34"/>
        <v>8930</v>
      </c>
      <c r="J26" s="1">
        <v>8932</v>
      </c>
      <c r="K26" s="385">
        <f t="shared" si="29"/>
        <v>2</v>
      </c>
      <c r="L26" s="78">
        <f t="shared" si="35"/>
        <v>0</v>
      </c>
      <c r="M26" s="1"/>
      <c r="N26" s="385">
        <f t="shared" si="36"/>
        <v>0</v>
      </c>
      <c r="O26" s="78">
        <f t="shared" ref="O26:O37" si="38">P25</f>
        <v>22817</v>
      </c>
      <c r="P26" s="758">
        <v>22822</v>
      </c>
      <c r="Q26" s="385">
        <f t="shared" si="13"/>
        <v>5</v>
      </c>
      <c r="R26" s="889">
        <f t="shared" si="21"/>
        <v>7</v>
      </c>
      <c r="S26" s="210">
        <f t="shared" si="14"/>
        <v>80475</v>
      </c>
      <c r="T26" s="759">
        <v>80547</v>
      </c>
      <c r="U26" s="386">
        <f t="shared" si="22"/>
        <v>72</v>
      </c>
      <c r="V26" s="210">
        <f t="shared" si="33"/>
        <v>0</v>
      </c>
      <c r="W26" s="309"/>
      <c r="X26" s="386">
        <f t="shared" si="15"/>
        <v>0</v>
      </c>
      <c r="Y26" s="210">
        <f t="shared" si="6"/>
        <v>97383</v>
      </c>
      <c r="Z26" s="309">
        <v>97421</v>
      </c>
      <c r="AA26" s="386">
        <f t="shared" si="16"/>
        <v>38</v>
      </c>
      <c r="AB26" s="483">
        <f t="shared" si="23"/>
        <v>23411</v>
      </c>
      <c r="AC26" s="484">
        <v>23428</v>
      </c>
      <c r="AD26" s="486">
        <f t="shared" si="24"/>
        <v>17</v>
      </c>
      <c r="AE26" s="210">
        <f t="shared" si="7"/>
        <v>0</v>
      </c>
      <c r="AF26" s="310"/>
      <c r="AG26" s="386">
        <f t="shared" si="17"/>
        <v>0</v>
      </c>
      <c r="AH26" s="210">
        <f t="shared" si="8"/>
        <v>38181</v>
      </c>
      <c r="AI26" s="310">
        <v>38219</v>
      </c>
      <c r="AJ26" s="386">
        <f t="shared" si="18"/>
        <v>38</v>
      </c>
      <c r="AK26" s="210">
        <f t="shared" si="9"/>
        <v>0</v>
      </c>
      <c r="AL26" s="309"/>
      <c r="AM26" s="386">
        <f t="shared" si="32"/>
        <v>0</v>
      </c>
      <c r="AN26" s="695">
        <f t="shared" si="28"/>
        <v>165</v>
      </c>
    </row>
    <row r="27" spans="1:40" ht="23.1" customHeight="1" x14ac:dyDescent="0.3">
      <c r="A27" s="46">
        <f>Gen!B32</f>
        <v>44552</v>
      </c>
      <c r="B27" s="4"/>
      <c r="C27" s="78">
        <f>D26</f>
        <v>276298</v>
      </c>
      <c r="D27" s="1">
        <v>276369</v>
      </c>
      <c r="E27" s="385">
        <f t="shared" si="31"/>
        <v>71</v>
      </c>
      <c r="F27" s="78">
        <f t="shared" ref="F27:F31" si="39">G27</f>
        <v>0</v>
      </c>
      <c r="G27" s="768"/>
      <c r="H27" s="385">
        <f t="shared" si="37"/>
        <v>0</v>
      </c>
      <c r="I27" s="78">
        <f t="shared" si="34"/>
        <v>8932</v>
      </c>
      <c r="J27" s="1">
        <v>8936</v>
      </c>
      <c r="K27" s="385">
        <f t="shared" si="29"/>
        <v>4</v>
      </c>
      <c r="L27" s="78">
        <f t="shared" si="35"/>
        <v>0</v>
      </c>
      <c r="M27" s="1"/>
      <c r="N27" s="385">
        <f t="shared" si="36"/>
        <v>0</v>
      </c>
      <c r="O27" s="78">
        <f t="shared" si="38"/>
        <v>22822</v>
      </c>
      <c r="P27" s="758">
        <v>22829</v>
      </c>
      <c r="Q27" s="385">
        <f t="shared" si="13"/>
        <v>7</v>
      </c>
      <c r="R27" s="889">
        <f t="shared" si="21"/>
        <v>11</v>
      </c>
      <c r="S27" s="210">
        <f t="shared" si="14"/>
        <v>80547</v>
      </c>
      <c r="T27" s="759">
        <v>80618</v>
      </c>
      <c r="U27" s="386">
        <f t="shared" si="22"/>
        <v>71</v>
      </c>
      <c r="V27" s="210">
        <f t="shared" si="33"/>
        <v>0</v>
      </c>
      <c r="W27" s="309"/>
      <c r="X27" s="386">
        <f t="shared" si="15"/>
        <v>0</v>
      </c>
      <c r="Y27" s="210">
        <f t="shared" si="6"/>
        <v>97421</v>
      </c>
      <c r="Z27" s="309">
        <v>97456</v>
      </c>
      <c r="AA27" s="386">
        <f t="shared" si="16"/>
        <v>35</v>
      </c>
      <c r="AB27" s="483">
        <f t="shared" si="23"/>
        <v>23428</v>
      </c>
      <c r="AC27" s="484">
        <v>23444</v>
      </c>
      <c r="AD27" s="486">
        <f t="shared" si="24"/>
        <v>16</v>
      </c>
      <c r="AE27" s="210">
        <f t="shared" si="7"/>
        <v>0</v>
      </c>
      <c r="AF27" s="310"/>
      <c r="AG27" s="386">
        <f t="shared" si="17"/>
        <v>0</v>
      </c>
      <c r="AH27" s="210">
        <f t="shared" si="8"/>
        <v>38219</v>
      </c>
      <c r="AI27" s="310">
        <v>38251</v>
      </c>
      <c r="AJ27" s="386">
        <f t="shared" si="18"/>
        <v>32</v>
      </c>
      <c r="AK27" s="210">
        <f t="shared" si="9"/>
        <v>0</v>
      </c>
      <c r="AL27" s="309"/>
      <c r="AM27" s="386">
        <f t="shared" si="19"/>
        <v>0</v>
      </c>
      <c r="AN27" s="695">
        <f t="shared" si="28"/>
        <v>154</v>
      </c>
    </row>
    <row r="28" spans="1:40" ht="23.1" customHeight="1" x14ac:dyDescent="0.3">
      <c r="A28" s="46">
        <f>Gen!B33</f>
        <v>44553</v>
      </c>
      <c r="B28" s="4"/>
      <c r="C28" s="78">
        <f t="shared" ref="C28:C37" si="40">D27</f>
        <v>276369</v>
      </c>
      <c r="D28" s="1">
        <v>276454</v>
      </c>
      <c r="E28" s="385">
        <f t="shared" si="31"/>
        <v>85</v>
      </c>
      <c r="F28" s="78">
        <f t="shared" si="39"/>
        <v>0</v>
      </c>
      <c r="G28" s="768"/>
      <c r="H28" s="385">
        <f t="shared" ref="H28:H37" si="41">IF((G28-G27)&lt;0,"0",(G28-G27))</f>
        <v>0</v>
      </c>
      <c r="I28" s="78">
        <f t="shared" si="34"/>
        <v>8936</v>
      </c>
      <c r="J28" s="1">
        <v>8938</v>
      </c>
      <c r="K28" s="385">
        <f>IF((J28-J27)&lt;0,"0",(J28-J27))</f>
        <v>2</v>
      </c>
      <c r="L28" s="78">
        <f t="shared" si="35"/>
        <v>0</v>
      </c>
      <c r="M28" s="1"/>
      <c r="N28" s="385">
        <f t="shared" si="36"/>
        <v>0</v>
      </c>
      <c r="O28" s="78">
        <f t="shared" si="38"/>
        <v>22829</v>
      </c>
      <c r="P28" s="758">
        <v>22839</v>
      </c>
      <c r="Q28" s="385">
        <f t="shared" ref="Q28:Q37" si="42">IF((P28-P27)&lt;0,"0",(P28-P27))</f>
        <v>10</v>
      </c>
      <c r="R28" s="889">
        <f t="shared" si="21"/>
        <v>12</v>
      </c>
      <c r="S28" s="210">
        <f t="shared" si="14"/>
        <v>80618</v>
      </c>
      <c r="T28" s="759">
        <v>80641</v>
      </c>
      <c r="U28" s="386">
        <f t="shared" si="22"/>
        <v>23</v>
      </c>
      <c r="V28" s="210">
        <f t="shared" si="33"/>
        <v>0</v>
      </c>
      <c r="W28" s="309"/>
      <c r="X28" s="386">
        <f t="shared" si="15"/>
        <v>0</v>
      </c>
      <c r="Y28" s="210">
        <f t="shared" si="6"/>
        <v>97456</v>
      </c>
      <c r="Z28" s="309">
        <v>97497</v>
      </c>
      <c r="AA28" s="386">
        <f t="shared" si="16"/>
        <v>41</v>
      </c>
      <c r="AB28" s="483">
        <f t="shared" si="23"/>
        <v>23444</v>
      </c>
      <c r="AC28" s="484">
        <v>23462</v>
      </c>
      <c r="AD28" s="486">
        <f t="shared" si="24"/>
        <v>18</v>
      </c>
      <c r="AE28" s="210">
        <f t="shared" si="7"/>
        <v>0</v>
      </c>
      <c r="AF28" s="310"/>
      <c r="AG28" s="386">
        <f t="shared" si="17"/>
        <v>0</v>
      </c>
      <c r="AH28" s="210">
        <f t="shared" si="8"/>
        <v>38251</v>
      </c>
      <c r="AI28" s="310">
        <v>38287</v>
      </c>
      <c r="AJ28" s="386">
        <f t="shared" si="18"/>
        <v>36</v>
      </c>
      <c r="AK28" s="732">
        <f>AL27</f>
        <v>0</v>
      </c>
      <c r="AL28" s="309"/>
      <c r="AM28" s="386">
        <f t="shared" si="19"/>
        <v>0</v>
      </c>
      <c r="AN28" s="695">
        <f t="shared" si="28"/>
        <v>118</v>
      </c>
    </row>
    <row r="29" spans="1:40" ht="23.1" customHeight="1" x14ac:dyDescent="0.3">
      <c r="A29" s="46">
        <f>Gen!B34</f>
        <v>44554</v>
      </c>
      <c r="B29" s="4"/>
      <c r="C29" s="78">
        <f t="shared" si="40"/>
        <v>276454</v>
      </c>
      <c r="D29" s="1">
        <v>276529</v>
      </c>
      <c r="E29" s="385">
        <f t="shared" si="31"/>
        <v>75</v>
      </c>
      <c r="F29" s="78">
        <f t="shared" si="39"/>
        <v>0</v>
      </c>
      <c r="G29" s="768"/>
      <c r="H29" s="385">
        <f t="shared" si="41"/>
        <v>0</v>
      </c>
      <c r="I29" s="78">
        <f t="shared" si="34"/>
        <v>8938</v>
      </c>
      <c r="J29" s="1">
        <v>8941</v>
      </c>
      <c r="K29" s="385">
        <f t="shared" ref="K29:K37" si="43">IF((J29-J28)&lt;0,"0",(J29-J28))</f>
        <v>3</v>
      </c>
      <c r="L29" s="78">
        <f>M28</f>
        <v>0</v>
      </c>
      <c r="M29" s="1"/>
      <c r="N29" s="385">
        <f t="shared" si="36"/>
        <v>0</v>
      </c>
      <c r="O29" s="78">
        <f t="shared" si="38"/>
        <v>22839</v>
      </c>
      <c r="P29" s="308">
        <v>22848</v>
      </c>
      <c r="Q29" s="385">
        <f t="shared" si="42"/>
        <v>9</v>
      </c>
      <c r="R29" s="889">
        <f t="shared" si="21"/>
        <v>12</v>
      </c>
      <c r="S29" s="210">
        <f t="shared" si="14"/>
        <v>80641</v>
      </c>
      <c r="T29" s="759">
        <v>80641</v>
      </c>
      <c r="U29" s="386">
        <f t="shared" si="22"/>
        <v>0</v>
      </c>
      <c r="V29" s="210">
        <f t="shared" si="33"/>
        <v>0</v>
      </c>
      <c r="W29" s="309"/>
      <c r="X29" s="386">
        <f t="shared" si="15"/>
        <v>0</v>
      </c>
      <c r="Y29" s="210">
        <f t="shared" si="6"/>
        <v>97497</v>
      </c>
      <c r="Z29" s="309">
        <v>97537</v>
      </c>
      <c r="AA29" s="386">
        <f t="shared" si="16"/>
        <v>40</v>
      </c>
      <c r="AB29" s="483">
        <f t="shared" si="23"/>
        <v>23462</v>
      </c>
      <c r="AC29" s="484">
        <v>23478</v>
      </c>
      <c r="AD29" s="486">
        <f t="shared" si="24"/>
        <v>16</v>
      </c>
      <c r="AE29" s="210">
        <f t="shared" si="7"/>
        <v>0</v>
      </c>
      <c r="AF29" s="310"/>
      <c r="AG29" s="386">
        <f t="shared" si="17"/>
        <v>0</v>
      </c>
      <c r="AH29" s="210">
        <f t="shared" si="8"/>
        <v>38287</v>
      </c>
      <c r="AI29" s="310">
        <v>38323</v>
      </c>
      <c r="AJ29" s="386">
        <f t="shared" si="18"/>
        <v>36</v>
      </c>
      <c r="AK29" s="210">
        <f t="shared" si="9"/>
        <v>0</v>
      </c>
      <c r="AL29" s="309"/>
      <c r="AM29" s="386">
        <f t="shared" si="19"/>
        <v>0</v>
      </c>
      <c r="AN29" s="695">
        <f t="shared" si="28"/>
        <v>92</v>
      </c>
    </row>
    <row r="30" spans="1:40" ht="23.1" customHeight="1" x14ac:dyDescent="0.3">
      <c r="A30" s="46">
        <f>Gen!B35</f>
        <v>44555</v>
      </c>
      <c r="B30" s="4"/>
      <c r="C30" s="78">
        <f t="shared" si="40"/>
        <v>276529</v>
      </c>
      <c r="D30" s="1">
        <v>276631</v>
      </c>
      <c r="E30" s="385">
        <f t="shared" si="31"/>
        <v>102</v>
      </c>
      <c r="F30" s="78">
        <f t="shared" si="39"/>
        <v>0</v>
      </c>
      <c r="G30" s="768"/>
      <c r="H30" s="385">
        <f t="shared" si="41"/>
        <v>0</v>
      </c>
      <c r="I30" s="78">
        <f t="shared" si="34"/>
        <v>8941</v>
      </c>
      <c r="J30" s="1">
        <v>8944</v>
      </c>
      <c r="K30" s="385">
        <f t="shared" si="43"/>
        <v>3</v>
      </c>
      <c r="L30" s="78">
        <f t="shared" si="35"/>
        <v>0</v>
      </c>
      <c r="M30" s="1"/>
      <c r="N30" s="385">
        <f t="shared" si="36"/>
        <v>0</v>
      </c>
      <c r="O30" s="78">
        <f t="shared" si="38"/>
        <v>22848</v>
      </c>
      <c r="P30" s="308">
        <v>22861</v>
      </c>
      <c r="Q30" s="385">
        <f t="shared" si="42"/>
        <v>13</v>
      </c>
      <c r="R30" s="889">
        <f t="shared" si="21"/>
        <v>16</v>
      </c>
      <c r="S30" s="210">
        <f t="shared" si="14"/>
        <v>80641</v>
      </c>
      <c r="T30" s="759">
        <v>80677</v>
      </c>
      <c r="U30" s="386">
        <f t="shared" si="22"/>
        <v>36</v>
      </c>
      <c r="V30" s="210">
        <f t="shared" si="33"/>
        <v>0</v>
      </c>
      <c r="W30" s="309"/>
      <c r="X30" s="386">
        <f t="shared" si="15"/>
        <v>0</v>
      </c>
      <c r="Y30" s="210">
        <f t="shared" si="6"/>
        <v>97537</v>
      </c>
      <c r="Z30" s="309">
        <v>97579</v>
      </c>
      <c r="AA30" s="386">
        <f t="shared" si="16"/>
        <v>42</v>
      </c>
      <c r="AB30" s="483">
        <f t="shared" si="23"/>
        <v>23478</v>
      </c>
      <c r="AC30" s="484">
        <v>23493</v>
      </c>
      <c r="AD30" s="486">
        <f t="shared" si="24"/>
        <v>15</v>
      </c>
      <c r="AE30" s="210">
        <f t="shared" si="7"/>
        <v>0</v>
      </c>
      <c r="AF30" s="310"/>
      <c r="AG30" s="386">
        <f t="shared" si="17"/>
        <v>0</v>
      </c>
      <c r="AH30" s="210">
        <f t="shared" si="8"/>
        <v>38323</v>
      </c>
      <c r="AI30" s="310">
        <v>38357</v>
      </c>
      <c r="AJ30" s="386">
        <f t="shared" si="18"/>
        <v>34</v>
      </c>
      <c r="AK30" s="210">
        <f t="shared" si="9"/>
        <v>0</v>
      </c>
      <c r="AL30" s="309"/>
      <c r="AM30" s="386">
        <f t="shared" si="19"/>
        <v>0</v>
      </c>
      <c r="AN30" s="695">
        <f t="shared" si="28"/>
        <v>127</v>
      </c>
    </row>
    <row r="31" spans="1:40" ht="23.1" customHeight="1" x14ac:dyDescent="0.3">
      <c r="A31" s="46">
        <f>Gen!B36</f>
        <v>44556</v>
      </c>
      <c r="B31" s="4"/>
      <c r="C31" s="78">
        <f t="shared" si="40"/>
        <v>276631</v>
      </c>
      <c r="D31" s="1">
        <v>276737</v>
      </c>
      <c r="E31" s="385">
        <f>IF((D31-D30)&lt;0,"0",(D31-D30))</f>
        <v>106</v>
      </c>
      <c r="F31" s="78">
        <f t="shared" si="39"/>
        <v>0</v>
      </c>
      <c r="G31" s="768"/>
      <c r="H31" s="385">
        <f t="shared" si="41"/>
        <v>0</v>
      </c>
      <c r="I31" s="78">
        <f t="shared" si="34"/>
        <v>8944</v>
      </c>
      <c r="J31" s="1">
        <v>8947</v>
      </c>
      <c r="K31" s="385">
        <f t="shared" si="43"/>
        <v>3</v>
      </c>
      <c r="L31" s="78">
        <f t="shared" si="35"/>
        <v>0</v>
      </c>
      <c r="M31" s="1"/>
      <c r="N31" s="385">
        <f t="shared" si="36"/>
        <v>0</v>
      </c>
      <c r="O31" s="78">
        <f t="shared" si="38"/>
        <v>22861</v>
      </c>
      <c r="P31" s="308">
        <v>22873</v>
      </c>
      <c r="Q31" s="385">
        <f t="shared" si="42"/>
        <v>12</v>
      </c>
      <c r="R31" s="889">
        <f t="shared" si="21"/>
        <v>15</v>
      </c>
      <c r="S31" s="210">
        <f t="shared" si="14"/>
        <v>80677</v>
      </c>
      <c r="T31" s="759">
        <v>80751</v>
      </c>
      <c r="U31" s="386">
        <f t="shared" si="22"/>
        <v>74</v>
      </c>
      <c r="V31" s="210">
        <f t="shared" si="33"/>
        <v>0</v>
      </c>
      <c r="W31" s="309"/>
      <c r="X31" s="386">
        <f t="shared" si="15"/>
        <v>0</v>
      </c>
      <c r="Y31" s="210">
        <f t="shared" si="6"/>
        <v>97579</v>
      </c>
      <c r="Z31" s="309">
        <v>97620</v>
      </c>
      <c r="AA31" s="386">
        <f t="shared" si="16"/>
        <v>41</v>
      </c>
      <c r="AB31" s="483">
        <f t="shared" si="23"/>
        <v>23493</v>
      </c>
      <c r="AC31" s="484">
        <v>23507</v>
      </c>
      <c r="AD31" s="486">
        <f t="shared" si="24"/>
        <v>14</v>
      </c>
      <c r="AE31" s="210">
        <f t="shared" si="7"/>
        <v>0</v>
      </c>
      <c r="AF31" s="310"/>
      <c r="AG31" s="386">
        <f t="shared" si="17"/>
        <v>0</v>
      </c>
      <c r="AH31" s="210">
        <f t="shared" si="8"/>
        <v>38357</v>
      </c>
      <c r="AI31" s="310">
        <v>38392</v>
      </c>
      <c r="AJ31" s="386">
        <f t="shared" si="18"/>
        <v>35</v>
      </c>
      <c r="AK31" s="732">
        <f>AL30</f>
        <v>0</v>
      </c>
      <c r="AL31" s="309"/>
      <c r="AM31" s="386">
        <f t="shared" si="19"/>
        <v>0</v>
      </c>
      <c r="AN31" s="695">
        <f t="shared" si="28"/>
        <v>164</v>
      </c>
    </row>
    <row r="32" spans="1:40" ht="23.1" customHeight="1" x14ac:dyDescent="0.3">
      <c r="A32" s="46">
        <f>Gen!B37</f>
        <v>44557</v>
      </c>
      <c r="B32" s="4" t="s">
        <v>273</v>
      </c>
      <c r="C32" s="78">
        <f>D31</f>
        <v>276737</v>
      </c>
      <c r="D32" s="1">
        <v>276839</v>
      </c>
      <c r="E32" s="385">
        <f t="shared" si="31"/>
        <v>102</v>
      </c>
      <c r="F32" s="78">
        <f t="shared" si="1"/>
        <v>0</v>
      </c>
      <c r="G32" s="768"/>
      <c r="H32" s="385">
        <f t="shared" si="41"/>
        <v>0</v>
      </c>
      <c r="I32" s="78">
        <f>J31</f>
        <v>8947</v>
      </c>
      <c r="J32" s="1">
        <v>8951</v>
      </c>
      <c r="K32" s="385">
        <f t="shared" si="43"/>
        <v>4</v>
      </c>
      <c r="L32" s="78">
        <f t="shared" si="35"/>
        <v>0</v>
      </c>
      <c r="M32" s="1"/>
      <c r="N32" s="385">
        <f t="shared" si="36"/>
        <v>0</v>
      </c>
      <c r="O32" s="78">
        <f t="shared" si="38"/>
        <v>22873</v>
      </c>
      <c r="P32" s="308">
        <v>22886</v>
      </c>
      <c r="Q32" s="385">
        <f>IF((P32-P31)&lt;0,"0",(P32-P31))</f>
        <v>13</v>
      </c>
      <c r="R32" s="889">
        <f t="shared" si="21"/>
        <v>17</v>
      </c>
      <c r="S32" s="210">
        <f t="shared" si="14"/>
        <v>80751</v>
      </c>
      <c r="T32" s="759">
        <v>80821</v>
      </c>
      <c r="U32" s="386">
        <f t="shared" si="22"/>
        <v>70</v>
      </c>
      <c r="V32" s="210">
        <f t="shared" si="33"/>
        <v>0</v>
      </c>
      <c r="W32" s="309"/>
      <c r="X32" s="386">
        <f t="shared" si="15"/>
        <v>0</v>
      </c>
      <c r="Y32" s="210">
        <f t="shared" si="6"/>
        <v>97620</v>
      </c>
      <c r="Z32" s="309">
        <v>97663</v>
      </c>
      <c r="AA32" s="386">
        <f t="shared" si="16"/>
        <v>43</v>
      </c>
      <c r="AB32" s="483">
        <f t="shared" si="23"/>
        <v>23507</v>
      </c>
      <c r="AC32" s="484">
        <v>23523</v>
      </c>
      <c r="AD32" s="486">
        <f t="shared" si="24"/>
        <v>16</v>
      </c>
      <c r="AE32" s="210">
        <f t="shared" si="7"/>
        <v>0</v>
      </c>
      <c r="AF32" s="310"/>
      <c r="AG32" s="386">
        <f t="shared" si="17"/>
        <v>0</v>
      </c>
      <c r="AH32" s="210">
        <f t="shared" si="8"/>
        <v>38392</v>
      </c>
      <c r="AI32" s="310">
        <v>38427</v>
      </c>
      <c r="AJ32" s="386">
        <f t="shared" si="18"/>
        <v>35</v>
      </c>
      <c r="AK32" s="210">
        <f t="shared" si="9"/>
        <v>0</v>
      </c>
      <c r="AL32" s="309"/>
      <c r="AM32" s="386">
        <f>IF((AL32-AL31)&lt;0,"0",(AL32-AL31))</f>
        <v>0</v>
      </c>
      <c r="AN32" s="695">
        <f>U32+X32+AA32+AD32+AG32+AJ32+AM32</f>
        <v>164</v>
      </c>
    </row>
    <row r="33" spans="1:40" ht="23.1" customHeight="1" x14ac:dyDescent="0.3">
      <c r="A33" s="46">
        <f>Gen!B38</f>
        <v>44558</v>
      </c>
      <c r="B33" s="4"/>
      <c r="C33" s="78">
        <f t="shared" si="40"/>
        <v>276839</v>
      </c>
      <c r="D33" s="1">
        <v>276948</v>
      </c>
      <c r="E33" s="385">
        <f>IF((D33-D32)&lt;0,"0",(D33-D32))</f>
        <v>109</v>
      </c>
      <c r="F33" s="78">
        <f t="shared" si="1"/>
        <v>0</v>
      </c>
      <c r="G33" s="768"/>
      <c r="H33" s="385">
        <f t="shared" si="41"/>
        <v>0</v>
      </c>
      <c r="I33" s="78">
        <f t="shared" si="34"/>
        <v>8951</v>
      </c>
      <c r="J33" s="1">
        <v>8954</v>
      </c>
      <c r="K33" s="385">
        <f t="shared" si="43"/>
        <v>3</v>
      </c>
      <c r="L33" s="78">
        <f t="shared" si="35"/>
        <v>0</v>
      </c>
      <c r="M33" s="1"/>
      <c r="N33" s="385">
        <f t="shared" si="36"/>
        <v>0</v>
      </c>
      <c r="O33" s="78">
        <f>P32</f>
        <v>22886</v>
      </c>
      <c r="P33" s="308">
        <v>22895</v>
      </c>
      <c r="Q33" s="385">
        <f t="shared" si="42"/>
        <v>9</v>
      </c>
      <c r="R33" s="889">
        <f t="shared" si="21"/>
        <v>12</v>
      </c>
      <c r="S33" s="210">
        <f t="shared" si="14"/>
        <v>80821</v>
      </c>
      <c r="T33" s="759">
        <v>80822</v>
      </c>
      <c r="U33" s="386">
        <f t="shared" si="22"/>
        <v>1</v>
      </c>
      <c r="V33" s="210">
        <f t="shared" si="33"/>
        <v>0</v>
      </c>
      <c r="W33" s="309"/>
      <c r="X33" s="386">
        <f t="shared" si="15"/>
        <v>0</v>
      </c>
      <c r="Y33" s="210">
        <f t="shared" si="6"/>
        <v>97663</v>
      </c>
      <c r="Z33" s="309">
        <v>97702</v>
      </c>
      <c r="AA33" s="386">
        <f t="shared" si="16"/>
        <v>39</v>
      </c>
      <c r="AB33" s="483">
        <f t="shared" si="23"/>
        <v>23523</v>
      </c>
      <c r="AC33" s="211">
        <v>23537</v>
      </c>
      <c r="AD33" s="486">
        <f t="shared" si="24"/>
        <v>14</v>
      </c>
      <c r="AE33" s="210">
        <f t="shared" si="7"/>
        <v>0</v>
      </c>
      <c r="AF33" s="310"/>
      <c r="AG33" s="386">
        <f t="shared" si="17"/>
        <v>0</v>
      </c>
      <c r="AH33" s="210">
        <f t="shared" si="8"/>
        <v>38427</v>
      </c>
      <c r="AI33" s="310">
        <v>38463</v>
      </c>
      <c r="AJ33" s="386">
        <f t="shared" si="18"/>
        <v>36</v>
      </c>
      <c r="AK33" s="210">
        <f t="shared" si="9"/>
        <v>0</v>
      </c>
      <c r="AL33" s="309"/>
      <c r="AM33" s="386">
        <f t="shared" si="19"/>
        <v>0</v>
      </c>
      <c r="AN33" s="695">
        <f t="shared" si="28"/>
        <v>90</v>
      </c>
    </row>
    <row r="34" spans="1:40" ht="23.1" customHeight="1" x14ac:dyDescent="0.3">
      <c r="A34" s="46">
        <f>Gen!B39</f>
        <v>44559</v>
      </c>
      <c r="B34" s="126"/>
      <c r="C34" s="78">
        <f t="shared" si="40"/>
        <v>276948</v>
      </c>
      <c r="D34" s="1">
        <v>277059</v>
      </c>
      <c r="E34" s="385">
        <f t="shared" si="31"/>
        <v>111</v>
      </c>
      <c r="F34" s="78">
        <f t="shared" si="1"/>
        <v>0</v>
      </c>
      <c r="G34" s="768"/>
      <c r="H34" s="385">
        <f t="shared" si="41"/>
        <v>0</v>
      </c>
      <c r="I34" s="78">
        <f t="shared" si="34"/>
        <v>8954</v>
      </c>
      <c r="J34" s="1">
        <v>8959</v>
      </c>
      <c r="K34" s="385">
        <f t="shared" si="43"/>
        <v>5</v>
      </c>
      <c r="L34" s="78">
        <f t="shared" si="35"/>
        <v>0</v>
      </c>
      <c r="M34" s="1"/>
      <c r="N34" s="385">
        <f t="shared" si="36"/>
        <v>0</v>
      </c>
      <c r="O34" s="78">
        <f t="shared" si="38"/>
        <v>22895</v>
      </c>
      <c r="P34" s="308">
        <v>22909</v>
      </c>
      <c r="Q34" s="385">
        <f t="shared" si="42"/>
        <v>14</v>
      </c>
      <c r="R34" s="889">
        <f t="shared" si="21"/>
        <v>19</v>
      </c>
      <c r="S34" s="210">
        <f t="shared" si="14"/>
        <v>80822</v>
      </c>
      <c r="T34" s="759">
        <v>80870</v>
      </c>
      <c r="U34" s="386">
        <f t="shared" si="22"/>
        <v>48</v>
      </c>
      <c r="V34" s="210">
        <f t="shared" si="33"/>
        <v>0</v>
      </c>
      <c r="W34" s="309"/>
      <c r="X34" s="386">
        <f t="shared" si="15"/>
        <v>0</v>
      </c>
      <c r="Y34" s="210">
        <f t="shared" si="6"/>
        <v>97702</v>
      </c>
      <c r="Z34" s="309">
        <v>97746</v>
      </c>
      <c r="AA34" s="386">
        <f t="shared" si="16"/>
        <v>44</v>
      </c>
      <c r="AB34" s="483">
        <f t="shared" si="23"/>
        <v>23537</v>
      </c>
      <c r="AC34" s="211">
        <v>23552</v>
      </c>
      <c r="AD34" s="486">
        <f t="shared" si="24"/>
        <v>15</v>
      </c>
      <c r="AE34" s="210">
        <f t="shared" si="7"/>
        <v>0</v>
      </c>
      <c r="AF34" s="310"/>
      <c r="AG34" s="386">
        <f t="shared" si="17"/>
        <v>0</v>
      </c>
      <c r="AH34" s="210">
        <f t="shared" si="8"/>
        <v>38463</v>
      </c>
      <c r="AI34" s="310">
        <v>38500</v>
      </c>
      <c r="AJ34" s="386">
        <f t="shared" si="18"/>
        <v>37</v>
      </c>
      <c r="AK34" s="210">
        <f t="shared" si="9"/>
        <v>0</v>
      </c>
      <c r="AL34" s="309"/>
      <c r="AM34" s="386">
        <f t="shared" si="19"/>
        <v>0</v>
      </c>
      <c r="AN34" s="695">
        <f t="shared" si="28"/>
        <v>144</v>
      </c>
    </row>
    <row r="35" spans="1:40" ht="23.1" customHeight="1" x14ac:dyDescent="0.3">
      <c r="A35" s="46">
        <f>Gen!B40</f>
        <v>44560</v>
      </c>
      <c r="B35" s="126"/>
      <c r="C35" s="78">
        <f t="shared" si="40"/>
        <v>277059</v>
      </c>
      <c r="D35" s="1">
        <v>277161</v>
      </c>
      <c r="E35" s="385">
        <f>IF((D35-D34)&lt;0,"0",(D35-D34))</f>
        <v>102</v>
      </c>
      <c r="F35" s="78">
        <f t="shared" si="1"/>
        <v>0</v>
      </c>
      <c r="G35" s="768"/>
      <c r="H35" s="385">
        <f t="shared" si="41"/>
        <v>0</v>
      </c>
      <c r="I35" s="78">
        <f t="shared" si="34"/>
        <v>8959</v>
      </c>
      <c r="J35" s="1">
        <v>8962</v>
      </c>
      <c r="K35" s="385">
        <f t="shared" si="43"/>
        <v>3</v>
      </c>
      <c r="L35" s="78">
        <f t="shared" si="35"/>
        <v>0</v>
      </c>
      <c r="M35" s="1"/>
      <c r="N35" s="385">
        <f t="shared" si="36"/>
        <v>0</v>
      </c>
      <c r="O35" s="78">
        <f t="shared" si="38"/>
        <v>22909</v>
      </c>
      <c r="P35" s="308">
        <v>22919</v>
      </c>
      <c r="Q35" s="385">
        <f t="shared" si="42"/>
        <v>10</v>
      </c>
      <c r="R35" s="889">
        <f t="shared" si="21"/>
        <v>13</v>
      </c>
      <c r="S35" s="210">
        <f t="shared" si="14"/>
        <v>80870</v>
      </c>
      <c r="T35" s="759">
        <v>80895</v>
      </c>
      <c r="U35" s="386">
        <f>IF((T35-T34)&lt;0,"0",(T35-T34))</f>
        <v>25</v>
      </c>
      <c r="V35" s="210">
        <f t="shared" si="33"/>
        <v>0</v>
      </c>
      <c r="W35" s="309"/>
      <c r="X35" s="386">
        <f>IF((W36-W34)&lt;0,"0",(W36-W34))</f>
        <v>0</v>
      </c>
      <c r="Y35" s="210">
        <f t="shared" si="6"/>
        <v>97746</v>
      </c>
      <c r="Z35" s="309">
        <v>97789</v>
      </c>
      <c r="AA35" s="386">
        <f t="shared" si="16"/>
        <v>43</v>
      </c>
      <c r="AB35" s="483">
        <f t="shared" si="23"/>
        <v>23552</v>
      </c>
      <c r="AC35" s="211">
        <v>23566</v>
      </c>
      <c r="AD35" s="486">
        <f t="shared" si="24"/>
        <v>14</v>
      </c>
      <c r="AE35" s="210">
        <f>AF34</f>
        <v>0</v>
      </c>
      <c r="AF35" s="310"/>
      <c r="AG35" s="386">
        <f t="shared" si="17"/>
        <v>0</v>
      </c>
      <c r="AH35" s="210">
        <f t="shared" si="8"/>
        <v>38500</v>
      </c>
      <c r="AI35" s="310">
        <v>38536</v>
      </c>
      <c r="AJ35" s="386">
        <f t="shared" si="18"/>
        <v>36</v>
      </c>
      <c r="AK35" s="210">
        <f t="shared" si="9"/>
        <v>0</v>
      </c>
      <c r="AL35" s="309"/>
      <c r="AM35" s="386">
        <f t="shared" si="19"/>
        <v>0</v>
      </c>
      <c r="AN35" s="695">
        <f>U35+X35+AA35+AD35+AG35+AJ35+AM35</f>
        <v>118</v>
      </c>
    </row>
    <row r="36" spans="1:40" ht="23.1" customHeight="1" x14ac:dyDescent="0.3">
      <c r="A36" s="46">
        <f>Gen!B41</f>
        <v>44561</v>
      </c>
      <c r="B36" s="127"/>
      <c r="C36" s="78">
        <f t="shared" si="40"/>
        <v>277161</v>
      </c>
      <c r="D36" s="1">
        <v>277263</v>
      </c>
      <c r="E36" s="385">
        <f t="shared" si="31"/>
        <v>102</v>
      </c>
      <c r="F36" s="78">
        <f t="shared" si="1"/>
        <v>0</v>
      </c>
      <c r="G36" s="768"/>
      <c r="H36" s="385">
        <f t="shared" si="41"/>
        <v>0</v>
      </c>
      <c r="I36" s="78">
        <f t="shared" si="34"/>
        <v>8962</v>
      </c>
      <c r="J36" s="1">
        <v>8965</v>
      </c>
      <c r="K36" s="385">
        <f t="shared" si="43"/>
        <v>3</v>
      </c>
      <c r="L36" s="78">
        <f t="shared" si="35"/>
        <v>0</v>
      </c>
      <c r="M36" s="1"/>
      <c r="N36" s="385">
        <f t="shared" si="36"/>
        <v>0</v>
      </c>
      <c r="O36" s="78">
        <f t="shared" si="38"/>
        <v>22919</v>
      </c>
      <c r="P36" s="308">
        <v>22928</v>
      </c>
      <c r="Q36" s="385">
        <f t="shared" si="42"/>
        <v>9</v>
      </c>
      <c r="R36" s="889">
        <f t="shared" si="21"/>
        <v>12</v>
      </c>
      <c r="S36" s="210">
        <f t="shared" si="14"/>
        <v>80895</v>
      </c>
      <c r="T36" s="759">
        <v>80895</v>
      </c>
      <c r="U36" s="386">
        <f>IF((T36-T35)&lt;0,"0",(T36-T35))</f>
        <v>0</v>
      </c>
      <c r="V36" s="210">
        <f t="shared" si="33"/>
        <v>0</v>
      </c>
      <c r="W36" s="309"/>
      <c r="X36" s="386">
        <f>IF((W37-W35)&lt;0,"0",(W37-W35))</f>
        <v>0</v>
      </c>
      <c r="Y36" s="210">
        <f t="shared" si="6"/>
        <v>97789</v>
      </c>
      <c r="Z36" s="309">
        <v>97828</v>
      </c>
      <c r="AA36" s="386">
        <f t="shared" si="16"/>
        <v>39</v>
      </c>
      <c r="AB36" s="483">
        <f t="shared" si="23"/>
        <v>23566</v>
      </c>
      <c r="AC36" s="211">
        <v>23577</v>
      </c>
      <c r="AD36" s="486">
        <f t="shared" si="24"/>
        <v>11</v>
      </c>
      <c r="AE36" s="210">
        <f t="shared" si="7"/>
        <v>0</v>
      </c>
      <c r="AF36" s="310"/>
      <c r="AG36" s="386">
        <f t="shared" si="17"/>
        <v>0</v>
      </c>
      <c r="AH36" s="210">
        <f t="shared" si="8"/>
        <v>38536</v>
      </c>
      <c r="AI36" s="310">
        <v>38569</v>
      </c>
      <c r="AJ36" s="386">
        <f t="shared" si="18"/>
        <v>33</v>
      </c>
      <c r="AK36" s="210">
        <f t="shared" si="9"/>
        <v>0</v>
      </c>
      <c r="AL36" s="309"/>
      <c r="AM36" s="386">
        <f t="shared" si="19"/>
        <v>0</v>
      </c>
      <c r="AN36" s="695">
        <f>U36+X36+AA36+AD36+AG36+AJ36+AM36</f>
        <v>83</v>
      </c>
    </row>
    <row r="37" spans="1:40" ht="24" customHeight="1" x14ac:dyDescent="0.3">
      <c r="A37" s="46"/>
      <c r="B37" s="3"/>
      <c r="C37" s="78">
        <f t="shared" si="40"/>
        <v>277263</v>
      </c>
      <c r="D37" s="1">
        <v>277383</v>
      </c>
      <c r="E37" s="385">
        <f t="shared" si="31"/>
        <v>120</v>
      </c>
      <c r="F37" s="78">
        <f t="shared" si="1"/>
        <v>0</v>
      </c>
      <c r="G37" s="768"/>
      <c r="H37" s="385">
        <f t="shared" si="41"/>
        <v>0</v>
      </c>
      <c r="I37" s="78">
        <f t="shared" si="34"/>
        <v>8965</v>
      </c>
      <c r="J37" s="1"/>
      <c r="K37" s="385" t="str">
        <f t="shared" si="43"/>
        <v>0</v>
      </c>
      <c r="L37" s="78">
        <f t="shared" si="35"/>
        <v>0</v>
      </c>
      <c r="M37" s="1"/>
      <c r="N37" s="385">
        <f t="shared" si="36"/>
        <v>0</v>
      </c>
      <c r="O37" s="78">
        <f t="shared" si="38"/>
        <v>22928</v>
      </c>
      <c r="P37" s="308"/>
      <c r="Q37" s="385" t="str">
        <f t="shared" si="42"/>
        <v>0</v>
      </c>
      <c r="R37" s="889">
        <f t="shared" si="21"/>
        <v>0</v>
      </c>
      <c r="S37" s="210">
        <f t="shared" si="14"/>
        <v>80895</v>
      </c>
      <c r="T37" s="759">
        <v>80966</v>
      </c>
      <c r="U37" s="386">
        <f>IF((T37-T36)&lt;0,"0",(T37-T36))</f>
        <v>71</v>
      </c>
      <c r="V37" s="210">
        <f t="shared" si="33"/>
        <v>0</v>
      </c>
      <c r="W37" s="309"/>
      <c r="X37" s="386"/>
      <c r="Y37" s="210"/>
      <c r="Z37" s="309">
        <v>97863</v>
      </c>
      <c r="AA37" s="386">
        <f t="shared" si="16"/>
        <v>35</v>
      </c>
      <c r="AB37" s="483">
        <f t="shared" si="23"/>
        <v>23577</v>
      </c>
      <c r="AC37" s="211">
        <v>23590</v>
      </c>
      <c r="AD37" s="486">
        <f t="shared" si="24"/>
        <v>13</v>
      </c>
      <c r="AE37" s="210">
        <f t="shared" si="7"/>
        <v>0</v>
      </c>
      <c r="AF37" s="310"/>
      <c r="AG37" s="386"/>
      <c r="AH37" s="210"/>
      <c r="AI37" s="310">
        <v>38601</v>
      </c>
      <c r="AJ37" s="386">
        <f t="shared" si="18"/>
        <v>32</v>
      </c>
      <c r="AK37" s="210">
        <f t="shared" si="9"/>
        <v>0</v>
      </c>
      <c r="AL37" s="309"/>
      <c r="AM37" s="386"/>
      <c r="AN37" s="695">
        <f>U37+X37+AA37+AD37+AG37+AJ37+AM37</f>
        <v>151</v>
      </c>
    </row>
    <row r="38" spans="1:40" s="712" customFormat="1" ht="15.75" x14ac:dyDescent="0.25">
      <c r="A38" s="77"/>
      <c r="B38" s="699"/>
      <c r="C38" s="1025" t="s">
        <v>241</v>
      </c>
      <c r="D38" s="1025"/>
      <c r="E38" s="700">
        <f>SUM(E6:E36)</f>
        <v>2480</v>
      </c>
      <c r="F38" s="701" t="s">
        <v>274</v>
      </c>
      <c r="G38" s="702"/>
      <c r="H38" s="703">
        <f>SUM(H6:H37)</f>
        <v>0</v>
      </c>
      <c r="I38" s="704"/>
      <c r="J38" s="701"/>
      <c r="K38" s="705">
        <f>SUM(K6:K37)</f>
        <v>94</v>
      </c>
      <c r="L38" s="706"/>
      <c r="M38" s="706"/>
      <c r="N38" s="707">
        <f t="shared" ref="N38" si="44">M38-M37</f>
        <v>0</v>
      </c>
      <c r="O38" s="704"/>
      <c r="P38" s="708"/>
      <c r="Q38" s="709">
        <f t="shared" ref="Q38" si="45">P38-O38</f>
        <v>0</v>
      </c>
      <c r="R38" s="889">
        <f t="shared" si="21"/>
        <v>94</v>
      </c>
      <c r="S38" s="708"/>
      <c r="T38" s="708"/>
      <c r="U38" s="696">
        <f>SUM(U6:U37)</f>
        <v>1016</v>
      </c>
      <c r="V38" s="708"/>
      <c r="W38" s="708"/>
      <c r="X38" s="697">
        <f>SUM(X13:X37)</f>
        <v>0</v>
      </c>
      <c r="Y38" s="710"/>
      <c r="Z38" s="708"/>
      <c r="AA38" s="697">
        <f>SUM(AA6:AA37)</f>
        <v>1219</v>
      </c>
      <c r="AB38" s="708"/>
      <c r="AC38" s="708"/>
      <c r="AD38" s="697">
        <f>SUM(AD6:AD37)</f>
        <v>445</v>
      </c>
      <c r="AE38" s="708"/>
      <c r="AF38" s="708"/>
      <c r="AG38" s="697">
        <f>SUM(AG6:AG37)</f>
        <v>0</v>
      </c>
      <c r="AH38" s="708"/>
      <c r="AI38" s="708"/>
      <c r="AJ38" s="698">
        <f>SUM(AJ6:AJ37)</f>
        <v>1124</v>
      </c>
      <c r="AK38" s="708"/>
      <c r="AL38" s="708"/>
      <c r="AM38" s="711">
        <f>SUM(AM6:AM37)</f>
        <v>0</v>
      </c>
      <c r="AN38" s="695">
        <f>U38+X38+AA38+AD38+AG38+AJ38+AM38</f>
        <v>3804</v>
      </c>
    </row>
    <row r="41" spans="1:40" ht="13.5" thickBot="1" x14ac:dyDescent="0.25"/>
    <row r="42" spans="1:40" ht="18" x14ac:dyDescent="0.2">
      <c r="A42" s="986"/>
      <c r="B42" s="227"/>
      <c r="C42" s="983" t="s">
        <v>275</v>
      </c>
      <c r="D42" s="984"/>
      <c r="E42" s="984"/>
      <c r="F42" s="984"/>
      <c r="G42" s="984"/>
      <c r="H42" s="984"/>
      <c r="I42" s="984"/>
      <c r="J42" s="984"/>
      <c r="K42" s="985"/>
    </row>
    <row r="43" spans="1:40" ht="24.75" customHeight="1" x14ac:dyDescent="0.2">
      <c r="A43" s="987"/>
      <c r="C43" s="989" t="s">
        <v>276</v>
      </c>
      <c r="D43" s="990"/>
      <c r="E43" s="991" t="s">
        <v>277</v>
      </c>
      <c r="F43" s="992"/>
      <c r="G43" s="993" t="s">
        <v>278</v>
      </c>
      <c r="H43" s="994"/>
      <c r="I43" s="993" t="s">
        <v>279</v>
      </c>
      <c r="J43" s="994"/>
      <c r="K43" s="981" t="s">
        <v>280</v>
      </c>
    </row>
    <row r="44" spans="1:40" ht="21" customHeight="1" x14ac:dyDescent="0.2">
      <c r="A44" s="987"/>
      <c r="C44" s="995" t="s">
        <v>281</v>
      </c>
      <c r="D44" s="996"/>
      <c r="E44" s="995" t="s">
        <v>282</v>
      </c>
      <c r="F44" s="996"/>
      <c r="G44" s="995" t="s">
        <v>283</v>
      </c>
      <c r="H44" s="996"/>
      <c r="I44" s="995" t="s">
        <v>284</v>
      </c>
      <c r="J44" s="996"/>
      <c r="K44" s="982"/>
    </row>
    <row r="45" spans="1:40" ht="21" customHeight="1" x14ac:dyDescent="0.2">
      <c r="A45" s="988"/>
      <c r="C45" s="839" t="s">
        <v>285</v>
      </c>
      <c r="D45" s="840" t="s">
        <v>286</v>
      </c>
      <c r="E45" s="841" t="s">
        <v>285</v>
      </c>
      <c r="F45" s="842" t="s">
        <v>286</v>
      </c>
      <c r="G45" s="843"/>
      <c r="H45" s="842" t="s">
        <v>286</v>
      </c>
      <c r="I45" s="843"/>
      <c r="J45" s="842" t="s">
        <v>286</v>
      </c>
      <c r="K45" s="844" t="s">
        <v>286</v>
      </c>
    </row>
    <row r="46" spans="1:40" ht="20.25" customHeight="1" x14ac:dyDescent="0.25">
      <c r="A46" s="242">
        <f>Gen!B11</f>
        <v>44531</v>
      </c>
      <c r="C46" s="831">
        <v>300</v>
      </c>
      <c r="D46" s="832">
        <f t="shared" ref="D46:D77" si="46">C46*217/300</f>
        <v>217</v>
      </c>
      <c r="E46" s="833">
        <v>290</v>
      </c>
      <c r="F46" s="832">
        <f t="shared" ref="F46:F77" si="47">E46*92/305</f>
        <v>87.47540983606558</v>
      </c>
      <c r="G46" s="829">
        <v>200</v>
      </c>
      <c r="H46" s="834">
        <f t="shared" ref="H46:H77" si="48">G46*146/383</f>
        <v>76.240208877284601</v>
      </c>
      <c r="I46" s="830">
        <v>288</v>
      </c>
      <c r="J46" s="835">
        <f t="shared" ref="J46:J77" si="49">I46*213/308</f>
        <v>199.16883116883116</v>
      </c>
      <c r="K46" s="836">
        <f>D46+F46+H46+J46</f>
        <v>579.88444988218134</v>
      </c>
    </row>
    <row r="47" spans="1:40" ht="13.5" x14ac:dyDescent="0.25">
      <c r="A47" s="242">
        <f>Gen!B12</f>
        <v>44532</v>
      </c>
      <c r="C47" s="831">
        <v>298</v>
      </c>
      <c r="D47" s="832">
        <f t="shared" si="46"/>
        <v>215.55333333333334</v>
      </c>
      <c r="E47" s="833">
        <v>275</v>
      </c>
      <c r="F47" s="832">
        <f t="shared" si="47"/>
        <v>82.950819672131146</v>
      </c>
      <c r="G47" s="829">
        <v>195</v>
      </c>
      <c r="H47" s="834">
        <f t="shared" si="48"/>
        <v>74.334203655352482</v>
      </c>
      <c r="I47" s="830">
        <v>291</v>
      </c>
      <c r="J47" s="835">
        <f t="shared" si="49"/>
        <v>201.24350649350649</v>
      </c>
      <c r="K47" s="836">
        <f t="shared" ref="K47:K77" si="50">D47+F47+H47+J47</f>
        <v>574.08186315432351</v>
      </c>
    </row>
    <row r="48" spans="1:40" ht="13.5" x14ac:dyDescent="0.25">
      <c r="A48" s="242">
        <f>Gen!B13</f>
        <v>44533</v>
      </c>
      <c r="C48" s="831">
        <v>300</v>
      </c>
      <c r="D48" s="832">
        <f t="shared" si="46"/>
        <v>217</v>
      </c>
      <c r="E48" s="833">
        <v>296</v>
      </c>
      <c r="F48" s="832">
        <f t="shared" si="47"/>
        <v>89.285245901639342</v>
      </c>
      <c r="G48" s="829">
        <v>125</v>
      </c>
      <c r="H48" s="834">
        <f t="shared" si="48"/>
        <v>47.650130548302869</v>
      </c>
      <c r="I48" s="830">
        <v>290</v>
      </c>
      <c r="J48" s="835">
        <f t="shared" si="49"/>
        <v>200.55194805194805</v>
      </c>
      <c r="K48" s="836">
        <f t="shared" si="50"/>
        <v>554.48732450189027</v>
      </c>
    </row>
    <row r="49" spans="1:15" ht="13.5" x14ac:dyDescent="0.25">
      <c r="A49" s="242">
        <f>Gen!B14</f>
        <v>44534</v>
      </c>
      <c r="C49" s="831">
        <v>280</v>
      </c>
      <c r="D49" s="832">
        <f t="shared" si="46"/>
        <v>202.53333333333333</v>
      </c>
      <c r="E49" s="833">
        <v>245</v>
      </c>
      <c r="F49" s="832">
        <f t="shared" si="47"/>
        <v>73.901639344262293</v>
      </c>
      <c r="G49" s="829">
        <v>150</v>
      </c>
      <c r="H49" s="834">
        <f t="shared" si="48"/>
        <v>57.180156657963444</v>
      </c>
      <c r="I49" s="830">
        <v>290</v>
      </c>
      <c r="J49" s="835">
        <f t="shared" si="49"/>
        <v>200.55194805194805</v>
      </c>
      <c r="K49" s="836">
        <f t="shared" si="50"/>
        <v>534.16707738750711</v>
      </c>
    </row>
    <row r="50" spans="1:15" ht="13.5" x14ac:dyDescent="0.25">
      <c r="A50" s="242">
        <f>Gen!B15</f>
        <v>44535</v>
      </c>
      <c r="C50" s="831">
        <v>215</v>
      </c>
      <c r="D50" s="832">
        <f t="shared" si="46"/>
        <v>155.51666666666668</v>
      </c>
      <c r="E50" s="833">
        <v>180</v>
      </c>
      <c r="F50" s="832">
        <f t="shared" si="47"/>
        <v>54.295081967213115</v>
      </c>
      <c r="G50" s="829">
        <v>295</v>
      </c>
      <c r="H50" s="834">
        <f t="shared" si="48"/>
        <v>112.45430809399478</v>
      </c>
      <c r="I50" s="830">
        <v>282</v>
      </c>
      <c r="J50" s="835">
        <f t="shared" si="49"/>
        <v>195.01948051948051</v>
      </c>
      <c r="K50" s="836">
        <f t="shared" si="50"/>
        <v>517.28553724735502</v>
      </c>
    </row>
    <row r="51" spans="1:15" ht="13.5" x14ac:dyDescent="0.25">
      <c r="A51" s="242">
        <f>Gen!B16</f>
        <v>44536</v>
      </c>
      <c r="C51" s="831">
        <v>250</v>
      </c>
      <c r="D51" s="832">
        <f t="shared" si="46"/>
        <v>180.83333333333334</v>
      </c>
      <c r="E51" s="833">
        <v>215</v>
      </c>
      <c r="F51" s="832">
        <f t="shared" si="47"/>
        <v>64.852459016393439</v>
      </c>
      <c r="G51" s="829">
        <v>200</v>
      </c>
      <c r="H51" s="834">
        <f t="shared" si="48"/>
        <v>76.240208877284601</v>
      </c>
      <c r="I51" s="830">
        <v>289</v>
      </c>
      <c r="J51" s="835">
        <f t="shared" si="49"/>
        <v>199.8603896103896</v>
      </c>
      <c r="K51" s="836">
        <f t="shared" si="50"/>
        <v>521.78639083740097</v>
      </c>
    </row>
    <row r="52" spans="1:15" ht="13.5" x14ac:dyDescent="0.25">
      <c r="A52" s="242">
        <f>Gen!B17</f>
        <v>44537</v>
      </c>
      <c r="C52" s="831">
        <v>195</v>
      </c>
      <c r="D52" s="832">
        <f t="shared" si="46"/>
        <v>141.05000000000001</v>
      </c>
      <c r="E52" s="833">
        <v>155</v>
      </c>
      <c r="F52" s="832">
        <f t="shared" si="47"/>
        <v>46.754098360655739</v>
      </c>
      <c r="G52" s="829">
        <v>300</v>
      </c>
      <c r="H52" s="834">
        <f t="shared" si="48"/>
        <v>114.36031331592689</v>
      </c>
      <c r="I52" s="830">
        <v>200</v>
      </c>
      <c r="J52" s="835">
        <f t="shared" si="49"/>
        <v>138.3116883116883</v>
      </c>
      <c r="K52" s="836">
        <f t="shared" si="50"/>
        <v>440.4760999882709</v>
      </c>
    </row>
    <row r="53" spans="1:15" ht="13.5" x14ac:dyDescent="0.25">
      <c r="A53" s="242">
        <f>Gen!B18</f>
        <v>44538</v>
      </c>
      <c r="C53" s="831">
        <v>235</v>
      </c>
      <c r="D53" s="832">
        <f t="shared" si="46"/>
        <v>169.98333333333332</v>
      </c>
      <c r="E53" s="833">
        <v>200</v>
      </c>
      <c r="F53" s="832">
        <f t="shared" si="47"/>
        <v>60.327868852459019</v>
      </c>
      <c r="G53" s="829">
        <v>300</v>
      </c>
      <c r="H53" s="834">
        <f t="shared" si="48"/>
        <v>114.36031331592689</v>
      </c>
      <c r="I53" s="830">
        <v>285</v>
      </c>
      <c r="J53" s="835">
        <f t="shared" si="49"/>
        <v>197.09415584415584</v>
      </c>
      <c r="K53" s="836">
        <f t="shared" si="50"/>
        <v>541.76567134587503</v>
      </c>
    </row>
    <row r="54" spans="1:15" ht="13.5" x14ac:dyDescent="0.25">
      <c r="A54" s="242">
        <f>Gen!B19</f>
        <v>44539</v>
      </c>
      <c r="C54" s="831">
        <v>240</v>
      </c>
      <c r="D54" s="832">
        <f t="shared" si="46"/>
        <v>173.6</v>
      </c>
      <c r="E54" s="833">
        <v>200</v>
      </c>
      <c r="F54" s="832">
        <f t="shared" si="47"/>
        <v>60.327868852459019</v>
      </c>
      <c r="G54" s="829">
        <v>150</v>
      </c>
      <c r="H54" s="834">
        <f t="shared" si="48"/>
        <v>57.180156657963444</v>
      </c>
      <c r="I54" s="830">
        <v>285</v>
      </c>
      <c r="J54" s="835">
        <f t="shared" si="49"/>
        <v>197.09415584415584</v>
      </c>
      <c r="K54" s="836">
        <f t="shared" si="50"/>
        <v>488.20218135457833</v>
      </c>
    </row>
    <row r="55" spans="1:15" ht="13.5" x14ac:dyDescent="0.25">
      <c r="A55" s="242">
        <f>Gen!B20</f>
        <v>44540</v>
      </c>
      <c r="C55" s="831">
        <v>190</v>
      </c>
      <c r="D55" s="832">
        <f t="shared" si="46"/>
        <v>137.43333333333334</v>
      </c>
      <c r="E55" s="833">
        <v>150</v>
      </c>
      <c r="F55" s="832">
        <f t="shared" si="47"/>
        <v>45.245901639344261</v>
      </c>
      <c r="G55" s="829">
        <v>280</v>
      </c>
      <c r="H55" s="834">
        <f t="shared" si="48"/>
        <v>106.73629242819844</v>
      </c>
      <c r="I55" s="830">
        <v>290</v>
      </c>
      <c r="J55" s="835">
        <f t="shared" si="49"/>
        <v>200.55194805194805</v>
      </c>
      <c r="K55" s="836">
        <f t="shared" si="50"/>
        <v>489.96747545282409</v>
      </c>
    </row>
    <row r="56" spans="1:15" ht="13.5" x14ac:dyDescent="0.25">
      <c r="A56" s="242">
        <f>Gen!B21</f>
        <v>44541</v>
      </c>
      <c r="C56" s="831">
        <v>300</v>
      </c>
      <c r="D56" s="832">
        <f t="shared" si="46"/>
        <v>217</v>
      </c>
      <c r="E56" s="833">
        <v>260</v>
      </c>
      <c r="F56" s="832">
        <f t="shared" si="47"/>
        <v>78.426229508196727</v>
      </c>
      <c r="G56" s="829">
        <v>100</v>
      </c>
      <c r="H56" s="834">
        <f t="shared" si="48"/>
        <v>38.120104438642301</v>
      </c>
      <c r="I56" s="830">
        <v>285</v>
      </c>
      <c r="J56" s="835">
        <f t="shared" si="49"/>
        <v>197.09415584415584</v>
      </c>
      <c r="K56" s="836">
        <f t="shared" si="50"/>
        <v>530.64048979099482</v>
      </c>
    </row>
    <row r="57" spans="1:15" ht="13.5" x14ac:dyDescent="0.25">
      <c r="A57" s="242">
        <f>Gen!B22</f>
        <v>44542</v>
      </c>
      <c r="C57" s="831">
        <v>240</v>
      </c>
      <c r="D57" s="832">
        <f t="shared" si="46"/>
        <v>173.6</v>
      </c>
      <c r="E57" s="833">
        <v>200</v>
      </c>
      <c r="F57" s="832">
        <f t="shared" si="47"/>
        <v>60.327868852459019</v>
      </c>
      <c r="G57" s="829">
        <v>300</v>
      </c>
      <c r="H57" s="834">
        <f t="shared" si="48"/>
        <v>114.36031331592689</v>
      </c>
      <c r="I57" s="830">
        <v>290</v>
      </c>
      <c r="J57" s="835">
        <f t="shared" si="49"/>
        <v>200.55194805194805</v>
      </c>
      <c r="K57" s="836">
        <f t="shared" si="50"/>
        <v>548.840130220334</v>
      </c>
    </row>
    <row r="58" spans="1:15" ht="13.5" x14ac:dyDescent="0.25">
      <c r="A58" s="242">
        <f>Gen!B23</f>
        <v>44543</v>
      </c>
      <c r="C58" s="831">
        <v>300</v>
      </c>
      <c r="D58" s="832">
        <f t="shared" si="46"/>
        <v>217</v>
      </c>
      <c r="E58" s="833">
        <v>295</v>
      </c>
      <c r="F58" s="832">
        <f t="shared" si="47"/>
        <v>88.983606557377044</v>
      </c>
      <c r="G58" s="829">
        <v>275</v>
      </c>
      <c r="H58" s="834">
        <f t="shared" si="48"/>
        <v>104.83028720626632</v>
      </c>
      <c r="I58" s="830">
        <v>280</v>
      </c>
      <c r="J58" s="835">
        <f t="shared" si="49"/>
        <v>193.63636363636363</v>
      </c>
      <c r="K58" s="836">
        <f t="shared" si="50"/>
        <v>604.45025740000699</v>
      </c>
    </row>
    <row r="59" spans="1:15" ht="13.5" x14ac:dyDescent="0.25">
      <c r="A59" s="242">
        <f>Gen!B24</f>
        <v>44544</v>
      </c>
      <c r="C59" s="831">
        <v>236</v>
      </c>
      <c r="D59" s="832">
        <f t="shared" si="46"/>
        <v>170.70666666666668</v>
      </c>
      <c r="E59" s="833">
        <v>200</v>
      </c>
      <c r="F59" s="832">
        <f t="shared" si="47"/>
        <v>60.327868852459019</v>
      </c>
      <c r="G59" s="829">
        <v>300</v>
      </c>
      <c r="H59" s="834">
        <f t="shared" si="48"/>
        <v>114.36031331592689</v>
      </c>
      <c r="I59" s="830">
        <v>288</v>
      </c>
      <c r="J59" s="835">
        <f t="shared" si="49"/>
        <v>199.16883116883116</v>
      </c>
      <c r="K59" s="836">
        <f t="shared" si="50"/>
        <v>544.56368000388375</v>
      </c>
    </row>
    <row r="60" spans="1:15" ht="13.5" x14ac:dyDescent="0.25">
      <c r="A60" s="242">
        <f>Gen!B25</f>
        <v>44545</v>
      </c>
      <c r="C60" s="831">
        <v>300</v>
      </c>
      <c r="D60" s="832">
        <f t="shared" si="46"/>
        <v>217</v>
      </c>
      <c r="E60" s="833">
        <v>280</v>
      </c>
      <c r="F60" s="832">
        <f t="shared" si="47"/>
        <v>84.459016393442624</v>
      </c>
      <c r="G60" s="829">
        <v>155</v>
      </c>
      <c r="H60" s="834">
        <f t="shared" si="48"/>
        <v>59.086161879895563</v>
      </c>
      <c r="I60" s="830">
        <v>285</v>
      </c>
      <c r="J60" s="835">
        <f t="shared" si="49"/>
        <v>197.09415584415584</v>
      </c>
      <c r="K60" s="836">
        <f>D60+F60+H60+J60</f>
        <v>557.63933411749406</v>
      </c>
      <c r="L60" t="s">
        <v>287</v>
      </c>
      <c r="O60" t="s">
        <v>288</v>
      </c>
    </row>
    <row r="61" spans="1:15" ht="13.5" x14ac:dyDescent="0.25">
      <c r="A61" s="242">
        <f>Gen!B26</f>
        <v>44546</v>
      </c>
      <c r="C61" s="831">
        <v>280</v>
      </c>
      <c r="D61" s="832">
        <f t="shared" si="46"/>
        <v>202.53333333333333</v>
      </c>
      <c r="E61" s="833">
        <v>250</v>
      </c>
      <c r="F61" s="832">
        <f t="shared" si="47"/>
        <v>75.409836065573771</v>
      </c>
      <c r="G61" s="829">
        <v>200</v>
      </c>
      <c r="H61" s="834">
        <f t="shared" si="48"/>
        <v>76.240208877284601</v>
      </c>
      <c r="I61" s="830">
        <v>275</v>
      </c>
      <c r="J61" s="835">
        <f t="shared" si="49"/>
        <v>190.17857142857142</v>
      </c>
      <c r="K61" s="836">
        <f t="shared" si="50"/>
        <v>544.36194970476311</v>
      </c>
      <c r="L61" t="s">
        <v>289</v>
      </c>
      <c r="N61" t="s">
        <v>290</v>
      </c>
    </row>
    <row r="62" spans="1:15" ht="13.5" x14ac:dyDescent="0.25">
      <c r="A62" s="242">
        <f>Gen!B27</f>
        <v>44547</v>
      </c>
      <c r="C62" s="831">
        <v>250</v>
      </c>
      <c r="D62" s="832">
        <f t="shared" si="46"/>
        <v>180.83333333333334</v>
      </c>
      <c r="E62" s="833">
        <v>210</v>
      </c>
      <c r="F62" s="832">
        <f t="shared" si="47"/>
        <v>63.344262295081968</v>
      </c>
      <c r="G62" s="829">
        <v>230</v>
      </c>
      <c r="H62" s="834">
        <f t="shared" si="48"/>
        <v>87.676240208877289</v>
      </c>
      <c r="I62" s="830">
        <v>290</v>
      </c>
      <c r="J62" s="835">
        <f t="shared" si="49"/>
        <v>200.55194805194805</v>
      </c>
      <c r="K62" s="836">
        <f t="shared" si="50"/>
        <v>532.40578388924064</v>
      </c>
    </row>
    <row r="63" spans="1:15" ht="13.5" x14ac:dyDescent="0.25">
      <c r="A63" s="242">
        <f>Gen!B28</f>
        <v>44548</v>
      </c>
      <c r="C63" s="831">
        <v>300</v>
      </c>
      <c r="D63" s="832">
        <f t="shared" si="46"/>
        <v>217</v>
      </c>
      <c r="E63" s="833">
        <v>250</v>
      </c>
      <c r="F63" s="832">
        <f t="shared" si="47"/>
        <v>75.409836065573771</v>
      </c>
      <c r="G63" s="829">
        <v>50</v>
      </c>
      <c r="H63" s="834">
        <f t="shared" si="48"/>
        <v>19.06005221932115</v>
      </c>
      <c r="I63" s="830">
        <v>285</v>
      </c>
      <c r="J63" s="835">
        <f t="shared" si="49"/>
        <v>197.09415584415584</v>
      </c>
      <c r="K63" s="836">
        <f t="shared" si="50"/>
        <v>508.56404412905079</v>
      </c>
    </row>
    <row r="64" spans="1:15" ht="13.5" x14ac:dyDescent="0.25">
      <c r="A64" s="242">
        <f>Gen!B29</f>
        <v>44549</v>
      </c>
      <c r="C64" s="831">
        <v>180</v>
      </c>
      <c r="D64" s="832">
        <f t="shared" si="46"/>
        <v>130.19999999999999</v>
      </c>
      <c r="E64" s="833">
        <v>150</v>
      </c>
      <c r="F64" s="832">
        <f t="shared" si="47"/>
        <v>45.245901639344261</v>
      </c>
      <c r="G64" s="829">
        <v>250</v>
      </c>
      <c r="H64" s="834">
        <f t="shared" si="48"/>
        <v>95.300261096605738</v>
      </c>
      <c r="I64" s="830">
        <v>295</v>
      </c>
      <c r="J64" s="835">
        <f t="shared" si="49"/>
        <v>204.00974025974025</v>
      </c>
      <c r="K64" s="836">
        <f t="shared" si="50"/>
        <v>474.75590299569024</v>
      </c>
    </row>
    <row r="65" spans="1:11" ht="13.5" x14ac:dyDescent="0.25">
      <c r="A65" s="242">
        <f>Gen!B30</f>
        <v>44550</v>
      </c>
      <c r="C65" s="831">
        <v>150</v>
      </c>
      <c r="D65" s="832">
        <f t="shared" si="46"/>
        <v>108.5</v>
      </c>
      <c r="E65" s="833">
        <v>110</v>
      </c>
      <c r="F65" s="832">
        <f t="shared" si="47"/>
        <v>33.180327868852459</v>
      </c>
      <c r="G65" s="829">
        <v>300</v>
      </c>
      <c r="H65" s="834">
        <f t="shared" si="48"/>
        <v>114.36031331592689</v>
      </c>
      <c r="I65" s="830">
        <v>295</v>
      </c>
      <c r="J65" s="835">
        <f t="shared" si="49"/>
        <v>204.00974025974025</v>
      </c>
      <c r="K65" s="836">
        <f>D65+F65+H65+J65</f>
        <v>460.05038144451964</v>
      </c>
    </row>
    <row r="66" spans="1:11" ht="13.5" x14ac:dyDescent="0.25">
      <c r="A66" s="242">
        <f>Gen!B31</f>
        <v>44551</v>
      </c>
      <c r="C66" s="831">
        <v>250</v>
      </c>
      <c r="D66" s="832">
        <f t="shared" si="46"/>
        <v>180.83333333333334</v>
      </c>
      <c r="E66" s="833">
        <v>200</v>
      </c>
      <c r="F66" s="832">
        <f t="shared" si="47"/>
        <v>60.327868852459019</v>
      </c>
      <c r="G66" s="829">
        <v>160</v>
      </c>
      <c r="H66" s="834">
        <f t="shared" si="48"/>
        <v>60.992167101827675</v>
      </c>
      <c r="I66" s="830">
        <v>290</v>
      </c>
      <c r="J66" s="835">
        <f t="shared" si="49"/>
        <v>200.55194805194805</v>
      </c>
      <c r="K66" s="836">
        <f t="shared" si="50"/>
        <v>502.70531733956813</v>
      </c>
    </row>
    <row r="67" spans="1:11" ht="13.5" x14ac:dyDescent="0.25">
      <c r="A67" s="242">
        <f>Gen!B32</f>
        <v>44552</v>
      </c>
      <c r="C67" s="831">
        <v>260</v>
      </c>
      <c r="D67" s="832">
        <f t="shared" si="46"/>
        <v>188.06666666666666</v>
      </c>
      <c r="E67" s="833">
        <v>210</v>
      </c>
      <c r="F67" s="832">
        <f t="shared" si="47"/>
        <v>63.344262295081968</v>
      </c>
      <c r="G67" s="829">
        <v>220</v>
      </c>
      <c r="H67" s="834">
        <f t="shared" si="48"/>
        <v>83.86422976501305</v>
      </c>
      <c r="I67" s="830">
        <v>295</v>
      </c>
      <c r="J67" s="835">
        <f t="shared" si="49"/>
        <v>204.00974025974025</v>
      </c>
      <c r="K67" s="836">
        <f t="shared" si="50"/>
        <v>539.28489898650196</v>
      </c>
    </row>
    <row r="68" spans="1:11" ht="13.5" x14ac:dyDescent="0.25">
      <c r="A68" s="242">
        <f>Gen!B33</f>
        <v>44553</v>
      </c>
      <c r="C68" s="831">
        <v>240</v>
      </c>
      <c r="D68" s="832">
        <f t="shared" si="46"/>
        <v>173.6</v>
      </c>
      <c r="E68" s="833">
        <v>200</v>
      </c>
      <c r="F68" s="832">
        <f t="shared" si="47"/>
        <v>60.327868852459019</v>
      </c>
      <c r="G68" s="829">
        <v>260</v>
      </c>
      <c r="H68" s="834">
        <f t="shared" si="48"/>
        <v>99.112271540469976</v>
      </c>
      <c r="I68" s="830">
        <v>290</v>
      </c>
      <c r="J68" s="835">
        <f t="shared" si="49"/>
        <v>200.55194805194805</v>
      </c>
      <c r="K68" s="836">
        <f t="shared" si="50"/>
        <v>533.59208844487705</v>
      </c>
    </row>
    <row r="69" spans="1:11" ht="13.5" x14ac:dyDescent="0.25">
      <c r="A69" s="242">
        <f>Gen!B34</f>
        <v>44554</v>
      </c>
      <c r="C69" s="831">
        <v>200</v>
      </c>
      <c r="D69" s="832">
        <f t="shared" si="46"/>
        <v>144.66666666666666</v>
      </c>
      <c r="E69" s="833">
        <v>170</v>
      </c>
      <c r="F69" s="832">
        <f t="shared" si="47"/>
        <v>51.278688524590166</v>
      </c>
      <c r="G69" s="829">
        <v>270</v>
      </c>
      <c r="H69" s="832">
        <f>G69*146/383</f>
        <v>102.9242819843342</v>
      </c>
      <c r="I69" s="837">
        <v>295</v>
      </c>
      <c r="J69" s="832">
        <f t="shared" si="49"/>
        <v>204.00974025974025</v>
      </c>
      <c r="K69" s="836">
        <f t="shared" si="50"/>
        <v>502.87937743533132</v>
      </c>
    </row>
    <row r="70" spans="1:11" ht="13.5" x14ac:dyDescent="0.25">
      <c r="A70" s="242">
        <f>Gen!B35</f>
        <v>44555</v>
      </c>
      <c r="C70" s="831">
        <v>175</v>
      </c>
      <c r="D70" s="832">
        <f t="shared" si="46"/>
        <v>126.58333333333333</v>
      </c>
      <c r="E70" s="833">
        <v>130</v>
      </c>
      <c r="F70" s="832">
        <f>E70*92/305</f>
        <v>39.213114754098363</v>
      </c>
      <c r="G70" s="829">
        <v>290</v>
      </c>
      <c r="H70" s="832">
        <f t="shared" si="48"/>
        <v>110.54830287206266</v>
      </c>
      <c r="I70" s="838">
        <v>290</v>
      </c>
      <c r="J70" s="832">
        <f t="shared" si="49"/>
        <v>200.55194805194805</v>
      </c>
      <c r="K70" s="836">
        <f t="shared" si="50"/>
        <v>476.89669901144242</v>
      </c>
    </row>
    <row r="71" spans="1:11" ht="13.5" x14ac:dyDescent="0.25">
      <c r="A71" s="242">
        <f>Gen!B36</f>
        <v>44556</v>
      </c>
      <c r="C71" s="831">
        <v>210</v>
      </c>
      <c r="D71" s="832">
        <f>C71*217/300</f>
        <v>151.9</v>
      </c>
      <c r="E71" s="833">
        <v>165</v>
      </c>
      <c r="F71" s="832">
        <f t="shared" si="47"/>
        <v>49.770491803278688</v>
      </c>
      <c r="G71" s="829">
        <v>280</v>
      </c>
      <c r="H71" s="832">
        <f t="shared" si="48"/>
        <v>106.73629242819844</v>
      </c>
      <c r="I71" s="837">
        <v>290</v>
      </c>
      <c r="J71" s="832">
        <f t="shared" si="49"/>
        <v>200.55194805194805</v>
      </c>
      <c r="K71" s="836">
        <f t="shared" si="50"/>
        <v>508.95873228342521</v>
      </c>
    </row>
    <row r="72" spans="1:11" ht="13.5" x14ac:dyDescent="0.25">
      <c r="A72" s="242">
        <f>Gen!B37</f>
        <v>44557</v>
      </c>
      <c r="C72" s="831">
        <v>300</v>
      </c>
      <c r="D72" s="832">
        <f t="shared" si="46"/>
        <v>217</v>
      </c>
      <c r="E72" s="833">
        <v>270</v>
      </c>
      <c r="F72" s="832">
        <f t="shared" si="47"/>
        <v>81.442622950819668</v>
      </c>
      <c r="G72" s="829">
        <v>120</v>
      </c>
      <c r="H72" s="832">
        <f t="shared" si="48"/>
        <v>45.744125326370757</v>
      </c>
      <c r="I72" s="833">
        <v>295</v>
      </c>
      <c r="J72" s="832">
        <f t="shared" si="49"/>
        <v>204.00974025974025</v>
      </c>
      <c r="K72" s="836">
        <f t="shared" si="50"/>
        <v>548.1964885369307</v>
      </c>
    </row>
    <row r="73" spans="1:11" ht="13.5" x14ac:dyDescent="0.25">
      <c r="A73" s="242">
        <f>Gen!B38</f>
        <v>44558</v>
      </c>
      <c r="C73" s="831">
        <v>215</v>
      </c>
      <c r="D73" s="832">
        <f t="shared" si="46"/>
        <v>155.51666666666668</v>
      </c>
      <c r="E73" s="833">
        <v>185</v>
      </c>
      <c r="F73" s="832">
        <f t="shared" si="47"/>
        <v>55.803278688524593</v>
      </c>
      <c r="G73" s="829">
        <v>270</v>
      </c>
      <c r="H73" s="832">
        <f t="shared" si="48"/>
        <v>102.9242819843342</v>
      </c>
      <c r="I73" s="833">
        <v>290</v>
      </c>
      <c r="J73" s="832">
        <f t="shared" si="49"/>
        <v>200.55194805194805</v>
      </c>
      <c r="K73" s="836">
        <f t="shared" si="50"/>
        <v>514.79617539147353</v>
      </c>
    </row>
    <row r="74" spans="1:11" ht="13.5" x14ac:dyDescent="0.25">
      <c r="A74" s="242">
        <f>Gen!B39</f>
        <v>44559</v>
      </c>
      <c r="C74" s="831">
        <v>250</v>
      </c>
      <c r="D74" s="832">
        <f t="shared" si="46"/>
        <v>180.83333333333334</v>
      </c>
      <c r="E74" s="833">
        <v>215</v>
      </c>
      <c r="F74" s="832">
        <f t="shared" si="47"/>
        <v>64.852459016393439</v>
      </c>
      <c r="G74" s="829">
        <v>180</v>
      </c>
      <c r="H74" s="832">
        <f t="shared" si="48"/>
        <v>68.616187989556138</v>
      </c>
      <c r="I74" s="833">
        <v>290</v>
      </c>
      <c r="J74" s="832">
        <f t="shared" si="49"/>
        <v>200.55194805194805</v>
      </c>
      <c r="K74" s="836">
        <f t="shared" si="50"/>
        <v>514.85392839123097</v>
      </c>
    </row>
    <row r="75" spans="1:11" ht="13.5" x14ac:dyDescent="0.25">
      <c r="A75" s="242">
        <f>Gen!B40</f>
        <v>44560</v>
      </c>
      <c r="B75" s="212"/>
      <c r="C75" s="831">
        <v>230</v>
      </c>
      <c r="D75" s="832">
        <f>C75*217/300</f>
        <v>166.36666666666667</v>
      </c>
      <c r="E75" s="833">
        <v>190</v>
      </c>
      <c r="F75" s="832">
        <f t="shared" si="47"/>
        <v>57.311475409836063</v>
      </c>
      <c r="G75" s="829">
        <v>150</v>
      </c>
      <c r="H75" s="832">
        <f t="shared" si="48"/>
        <v>57.180156657963444</v>
      </c>
      <c r="I75" s="833">
        <v>290</v>
      </c>
      <c r="J75" s="832">
        <f t="shared" si="49"/>
        <v>200.55194805194805</v>
      </c>
      <c r="K75" s="836">
        <f t="shared" si="50"/>
        <v>481.41024678641423</v>
      </c>
    </row>
    <row r="76" spans="1:11" ht="13.5" x14ac:dyDescent="0.25">
      <c r="A76" s="242">
        <f>Gen!B41</f>
        <v>44561</v>
      </c>
      <c r="C76" s="831">
        <v>120</v>
      </c>
      <c r="D76" s="832">
        <f>C76*217/300</f>
        <v>86.8</v>
      </c>
      <c r="E76" s="833">
        <v>100</v>
      </c>
      <c r="F76" s="832">
        <f t="shared" si="47"/>
        <v>30.16393442622951</v>
      </c>
      <c r="G76" s="829">
        <v>280</v>
      </c>
      <c r="H76" s="832">
        <f t="shared" si="48"/>
        <v>106.73629242819844</v>
      </c>
      <c r="I76" s="833">
        <v>295</v>
      </c>
      <c r="J76" s="832">
        <f t="shared" si="49"/>
        <v>204.00974025974025</v>
      </c>
      <c r="K76" s="836">
        <f t="shared" si="50"/>
        <v>427.70996711416819</v>
      </c>
    </row>
    <row r="77" spans="1:11" ht="13.5" x14ac:dyDescent="0.25">
      <c r="A77" s="242">
        <f>Gen!B42</f>
        <v>0</v>
      </c>
      <c r="C77" s="51">
        <v>150</v>
      </c>
      <c r="D77" s="270">
        <f t="shared" si="46"/>
        <v>108.5</v>
      </c>
      <c r="E77" s="6">
        <v>95</v>
      </c>
      <c r="F77" s="270">
        <f t="shared" si="47"/>
        <v>28.655737704918032</v>
      </c>
      <c r="G77" s="387">
        <v>300</v>
      </c>
      <c r="H77" s="270">
        <f t="shared" si="48"/>
        <v>114.36031331592689</v>
      </c>
      <c r="I77" s="6">
        <v>290</v>
      </c>
      <c r="J77" s="270">
        <f t="shared" si="49"/>
        <v>200.55194805194805</v>
      </c>
      <c r="K77" s="271">
        <f t="shared" si="50"/>
        <v>452.06799907279299</v>
      </c>
    </row>
    <row r="78" spans="1:11" ht="13.5" x14ac:dyDescent="0.25">
      <c r="A78" s="242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topLeftCell="A19" workbookViewId="0">
      <selection activeCell="C35" sqref="C35"/>
    </sheetView>
  </sheetViews>
  <sheetFormatPr defaultRowHeight="12.75" x14ac:dyDescent="0.2"/>
  <cols>
    <col min="1" max="1" width="9.7109375" bestFit="1" customWidth="1"/>
    <col min="2" max="2" width="10.28515625" style="11" bestFit="1" customWidth="1"/>
  </cols>
  <sheetData>
    <row r="1" spans="1:3" s="15" customFormat="1" x14ac:dyDescent="0.2">
      <c r="A1" s="13" t="s">
        <v>31</v>
      </c>
      <c r="B1" s="13" t="s">
        <v>291</v>
      </c>
      <c r="C1" s="13" t="s">
        <v>33</v>
      </c>
    </row>
    <row r="2" spans="1:3" x14ac:dyDescent="0.2">
      <c r="A2" s="76">
        <f>Gen!B11</f>
        <v>44531</v>
      </c>
      <c r="B2" s="12">
        <f>'Lpg (2)'!G10</f>
        <v>101.24399999997696</v>
      </c>
      <c r="C2" s="75">
        <f>Gen!C11</f>
        <v>5.1900000000000002E-2</v>
      </c>
    </row>
    <row r="3" spans="1:3" x14ac:dyDescent="0.2">
      <c r="A3" s="76">
        <f>Gen!B12</f>
        <v>44532</v>
      </c>
      <c r="B3" s="12">
        <f>'Lpg (2)'!G11</f>
        <v>70.311999999982078</v>
      </c>
      <c r="C3" s="75">
        <f>Gen!C12</f>
        <v>0.05</v>
      </c>
    </row>
    <row r="4" spans="1:3" x14ac:dyDescent="0.2">
      <c r="A4" s="76">
        <f>Gen!B13</f>
        <v>44533</v>
      </c>
      <c r="B4" s="12">
        <f>'Lpg (2)'!G12</f>
        <v>59.576000000035862</v>
      </c>
      <c r="C4" s="75">
        <f>Gen!C13</f>
        <v>0.05</v>
      </c>
    </row>
    <row r="5" spans="1:3" x14ac:dyDescent="0.2">
      <c r="A5" s="76">
        <f>Gen!B14</f>
        <v>44534</v>
      </c>
      <c r="B5" s="12">
        <f>'Lpg (2)'!G13</f>
        <v>61.511999999982073</v>
      </c>
      <c r="C5" s="75">
        <f>Gen!C14</f>
        <v>0.08</v>
      </c>
    </row>
    <row r="6" spans="1:3" x14ac:dyDescent="0.2">
      <c r="A6" s="76">
        <f>Gen!B15</f>
        <v>44535</v>
      </c>
      <c r="B6" s="12">
        <f>'Lpg (2)'!G14</f>
        <v>87.340000000025611</v>
      </c>
      <c r="C6" s="75">
        <f>Gen!C15</f>
        <v>0.05</v>
      </c>
    </row>
    <row r="7" spans="1:3" x14ac:dyDescent="0.2">
      <c r="A7" s="76">
        <f>Gen!B16</f>
        <v>44536</v>
      </c>
      <c r="B7" s="12">
        <f>'Lpg (2)'!G15</f>
        <v>107.49199999996928</v>
      </c>
      <c r="C7" s="75">
        <f>Gen!C16</f>
        <v>7.7899999999999997E-2</v>
      </c>
    </row>
    <row r="8" spans="1:3" x14ac:dyDescent="0.2">
      <c r="A8" s="76">
        <f>Gen!B17</f>
        <v>44537</v>
      </c>
      <c r="B8" s="12">
        <f>'Lpg (2)'!G16</f>
        <v>90.68400000000257</v>
      </c>
      <c r="C8" s="75">
        <f>Gen!C17</f>
        <v>7.7899999999999997E-2</v>
      </c>
    </row>
    <row r="9" spans="1:3" x14ac:dyDescent="0.2">
      <c r="A9" s="76">
        <f>Gen!B18</f>
        <v>44538</v>
      </c>
      <c r="B9" s="12">
        <f>'Lpg (2)'!G17</f>
        <v>99.879999999987206</v>
      </c>
      <c r="C9" s="75">
        <f>Gen!C18</f>
        <v>0.12</v>
      </c>
    </row>
    <row r="10" spans="1:3" x14ac:dyDescent="0.2">
      <c r="A10" s="76">
        <f>Gen!B19</f>
        <v>44539</v>
      </c>
      <c r="B10" s="12">
        <f>'Lpg (2)'!G18</f>
        <v>108.98800000001793</v>
      </c>
      <c r="C10" s="75">
        <f>Gen!C19</f>
        <v>0.09</v>
      </c>
    </row>
    <row r="11" spans="1:3" x14ac:dyDescent="0.2">
      <c r="A11" s="76">
        <f>Gen!B20</f>
        <v>44540</v>
      </c>
      <c r="B11" s="12">
        <f>'Lpg (2)'!G19</f>
        <v>110.00000000000001</v>
      </c>
      <c r="C11" s="75">
        <f>Gen!C20</f>
        <v>0.12</v>
      </c>
    </row>
    <row r="12" spans="1:3" x14ac:dyDescent="0.2">
      <c r="A12" s="76">
        <f>Gen!B21</f>
        <v>44541</v>
      </c>
      <c r="B12" s="12">
        <f>'Lpg (2)'!G20</f>
        <v>105.37999999998721</v>
      </c>
      <c r="C12" s="75">
        <f>Gen!C21</f>
        <v>0.12</v>
      </c>
    </row>
    <row r="13" spans="1:3" x14ac:dyDescent="0.2">
      <c r="A13" s="76">
        <f>Gen!B22</f>
        <v>44542</v>
      </c>
      <c r="B13" s="12">
        <f>'Lpg (2)'!G21</f>
        <v>106.65600000002306</v>
      </c>
      <c r="C13" s="75">
        <f>Gen!C22</f>
        <v>0.12</v>
      </c>
    </row>
    <row r="14" spans="1:3" x14ac:dyDescent="0.2">
      <c r="A14" s="76">
        <f>Gen!B23</f>
        <v>44543</v>
      </c>
      <c r="B14" s="12">
        <f>'Lpg (2)'!G22</f>
        <v>108.02000000001281</v>
      </c>
      <c r="C14" s="75">
        <f>Gen!C23</f>
        <v>0.16</v>
      </c>
    </row>
    <row r="15" spans="1:3" x14ac:dyDescent="0.2">
      <c r="A15" s="76">
        <f>Gen!B24</f>
        <v>44544</v>
      </c>
      <c r="B15" s="12">
        <f>'Lpg (2)'!G23</f>
        <v>103.66399999998977</v>
      </c>
      <c r="C15" s="75">
        <f>Gen!C24</f>
        <v>0.17</v>
      </c>
    </row>
    <row r="16" spans="1:3" x14ac:dyDescent="0.2">
      <c r="A16" s="76">
        <f>Gen!B25</f>
        <v>44545</v>
      </c>
      <c r="B16" s="12">
        <f>'Lpg (2)'!G24</f>
        <v>98.427999999979519</v>
      </c>
      <c r="C16" s="75">
        <f>Gen!C25</f>
        <v>0.18</v>
      </c>
    </row>
    <row r="17" spans="1:3" x14ac:dyDescent="0.2">
      <c r="A17" s="76">
        <f>Gen!B26</f>
        <v>44546</v>
      </c>
      <c r="B17" s="12">
        <f>'Lpg (2)'!G25</f>
        <v>105.02799999997951</v>
      </c>
      <c r="C17" s="75">
        <f>Gen!C26</f>
        <v>0.16</v>
      </c>
    </row>
    <row r="18" spans="1:3" x14ac:dyDescent="0.2">
      <c r="A18" s="76">
        <f>Gen!B27</f>
        <v>44547</v>
      </c>
      <c r="B18" s="12">
        <f>'Lpg (2)'!G26</f>
        <v>101.72800000004355</v>
      </c>
      <c r="C18" s="75">
        <f>Gen!C27</f>
        <v>0.16</v>
      </c>
    </row>
    <row r="19" spans="1:3" x14ac:dyDescent="0.2">
      <c r="A19" s="76">
        <f>Gen!B28</f>
        <v>44548</v>
      </c>
      <c r="B19" s="12">
        <f>'Lpg (2)'!G27</f>
        <v>107.27199999995646</v>
      </c>
      <c r="C19" s="75">
        <f>Gen!C28</f>
        <v>0.13</v>
      </c>
    </row>
    <row r="20" spans="1:3" x14ac:dyDescent="0.2">
      <c r="A20" s="76">
        <f>Gen!B29</f>
        <v>44549</v>
      </c>
      <c r="B20" s="12">
        <f>'Lpg (2)'!G28</f>
        <v>94.468000000005134</v>
      </c>
      <c r="C20" s="75">
        <f>Gen!C29</f>
        <v>0.12</v>
      </c>
    </row>
    <row r="21" spans="1:3" x14ac:dyDescent="0.2">
      <c r="A21" s="76">
        <f>Gen!B30</f>
        <v>44550</v>
      </c>
      <c r="B21" s="12">
        <f>'Lpg (2)'!G29</f>
        <v>87.868000000005125</v>
      </c>
      <c r="C21" s="75">
        <f>Gen!C30</f>
        <v>0.06</v>
      </c>
    </row>
    <row r="22" spans="1:3" x14ac:dyDescent="0.2">
      <c r="A22" s="76">
        <f>Gen!B31</f>
        <v>44551</v>
      </c>
      <c r="B22" s="12">
        <f>'Lpg (2)'!G30</f>
        <v>113.43199999999489</v>
      </c>
      <c r="C22" s="75">
        <f>Gen!C31</f>
        <v>0.1</v>
      </c>
    </row>
    <row r="23" spans="1:3" x14ac:dyDescent="0.2">
      <c r="A23" s="76">
        <f>Gen!B32</f>
        <v>44552</v>
      </c>
      <c r="B23" s="12">
        <f>'Lpg (2)'!G31</f>
        <v>114.44400000004099</v>
      </c>
      <c r="C23" s="75">
        <f>Gen!C32</f>
        <v>0.17</v>
      </c>
    </row>
    <row r="24" spans="1:3" x14ac:dyDescent="0.2">
      <c r="A24" s="76">
        <f>Gen!B33</f>
        <v>44553</v>
      </c>
      <c r="B24" s="12">
        <f>'Lpg (2)'!G32</f>
        <v>114.09199999996927</v>
      </c>
      <c r="C24" s="75">
        <f>Gen!C33</f>
        <v>0.17</v>
      </c>
    </row>
    <row r="25" spans="1:3" x14ac:dyDescent="0.2">
      <c r="A25" s="76">
        <f>Gen!B34</f>
        <v>44554</v>
      </c>
      <c r="B25" s="12">
        <f>'Lpg (2)'!G33</f>
        <v>117.92000000001282</v>
      </c>
      <c r="C25" s="75">
        <f>Gen!C34</f>
        <v>0.47</v>
      </c>
    </row>
    <row r="26" spans="1:3" x14ac:dyDescent="0.2">
      <c r="A26" s="76">
        <f>Gen!B35</f>
        <v>44555</v>
      </c>
      <c r="B26" s="12">
        <f>'Lpg (2)'!G34</f>
        <v>129.40400000001537</v>
      </c>
      <c r="C26" s="75">
        <f>Gen!C35</f>
        <v>0.57999999999999996</v>
      </c>
    </row>
    <row r="27" spans="1:3" x14ac:dyDescent="0.2">
      <c r="A27" s="76">
        <f>Gen!B36</f>
        <v>44556</v>
      </c>
      <c r="B27" s="12">
        <f>'Lpg (2)'!G35</f>
        <v>115.76399999998976</v>
      </c>
      <c r="C27" s="75">
        <f>Gen!C36</f>
        <v>0.43</v>
      </c>
    </row>
    <row r="28" spans="1:3" x14ac:dyDescent="0.2">
      <c r="A28" s="76">
        <f>Gen!B37</f>
        <v>44557</v>
      </c>
      <c r="B28" s="12">
        <f>'Lpg (2)'!G36</f>
        <v>127.33600000001026</v>
      </c>
      <c r="C28" s="75">
        <f>Gen!C37</f>
        <v>0.39</v>
      </c>
    </row>
    <row r="29" spans="1:3" x14ac:dyDescent="0.2">
      <c r="A29" s="76">
        <f>Gen!B38</f>
        <v>44558</v>
      </c>
      <c r="B29" s="12">
        <f>'Lpg (2)'!G37</f>
        <v>126.71999999994878</v>
      </c>
      <c r="C29" s="75">
        <f>Gen!C38</f>
        <v>0.43</v>
      </c>
    </row>
    <row r="30" spans="1:3" x14ac:dyDescent="0.2">
      <c r="A30" s="76">
        <f>Gen!B39</f>
        <v>44559</v>
      </c>
      <c r="B30" s="12">
        <f>'Lpg (2)'!G38</f>
        <v>135.38800000001794</v>
      </c>
      <c r="C30" s="75">
        <f>Gen!C39</f>
        <v>0.53</v>
      </c>
    </row>
    <row r="31" spans="1:3" x14ac:dyDescent="0.2">
      <c r="A31" s="76">
        <f>Gen!B40</f>
        <v>44560</v>
      </c>
      <c r="B31" s="12">
        <f>'Lpg (2)'!G39</f>
        <v>157.30000000000001</v>
      </c>
      <c r="C31" s="75">
        <f>Gen!C40</f>
        <v>0.61</v>
      </c>
    </row>
    <row r="32" spans="1:3" x14ac:dyDescent="0.2">
      <c r="A32" s="76">
        <f>Gen!B41</f>
        <v>44561</v>
      </c>
      <c r="B32" s="12">
        <f>'Lpg (2)'!G40</f>
        <v>163.02000000001283</v>
      </c>
      <c r="C32" s="75">
        <f>Gen!C41</f>
        <v>0.61</v>
      </c>
    </row>
    <row r="33" spans="1:2" x14ac:dyDescent="0.2">
      <c r="A33" s="9"/>
      <c r="B33" s="12"/>
    </row>
    <row r="34" spans="1:2" x14ac:dyDescent="0.2">
      <c r="A34" s="9"/>
      <c r="B34" s="12"/>
    </row>
    <row r="35" spans="1:2" x14ac:dyDescent="0.2">
      <c r="A35" s="9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8"/>
  <sheetViews>
    <sheetView topLeftCell="A25" workbookViewId="0">
      <pane xSplit="1" topLeftCell="B1" activePane="topRight" state="frozen"/>
      <selection pane="topRight" activeCell="X36" sqref="X36"/>
    </sheetView>
  </sheetViews>
  <sheetFormatPr defaultRowHeight="12.75" x14ac:dyDescent="0.2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 x14ac:dyDescent="0.2">
      <c r="A1" s="1026">
        <f>A6</f>
        <v>44531</v>
      </c>
      <c r="B1" s="1027"/>
      <c r="C1" s="1027"/>
      <c r="D1" s="1027"/>
      <c r="E1" s="1027"/>
      <c r="F1" s="1027"/>
      <c r="G1" s="1027"/>
      <c r="H1" s="1027"/>
      <c r="I1" s="1027"/>
      <c r="J1" s="1027"/>
      <c r="K1" s="1027"/>
      <c r="L1" s="1027"/>
      <c r="M1" s="1027"/>
      <c r="N1" s="1027"/>
      <c r="O1" s="1027"/>
      <c r="P1" s="1027"/>
      <c r="Q1" s="1027"/>
      <c r="R1" s="1027"/>
      <c r="S1" s="1027"/>
      <c r="T1" s="1027"/>
      <c r="U1" s="1027"/>
      <c r="V1" s="1027"/>
      <c r="W1" s="1027"/>
      <c r="X1" s="1027"/>
      <c r="Y1" s="1027"/>
      <c r="Z1" s="1027"/>
      <c r="AA1" s="1027"/>
      <c r="AB1" s="1027"/>
    </row>
    <row r="2" spans="1:29" ht="12" customHeight="1" thickBot="1" x14ac:dyDescent="0.25">
      <c r="A2" s="1027"/>
      <c r="B2" s="1027"/>
      <c r="C2" s="1027"/>
      <c r="D2" s="1027"/>
      <c r="E2" s="1027"/>
      <c r="F2" s="1027"/>
      <c r="G2" s="1027"/>
      <c r="H2" s="1027"/>
      <c r="I2" s="1027"/>
      <c r="J2" s="1027"/>
      <c r="K2" s="1027"/>
      <c r="L2" s="1027"/>
      <c r="M2" s="1027"/>
      <c r="N2" s="1027"/>
      <c r="O2" s="1027"/>
      <c r="P2" s="1027"/>
      <c r="Q2" s="1027"/>
      <c r="R2" s="1027"/>
      <c r="S2" s="1027"/>
      <c r="T2" s="1027"/>
      <c r="U2" s="1027"/>
      <c r="V2" s="1027"/>
      <c r="W2" s="1027"/>
      <c r="X2" s="1027"/>
      <c r="Y2" s="1027"/>
      <c r="Z2" s="1027"/>
      <c r="AA2" s="1027"/>
      <c r="AB2" s="1027"/>
    </row>
    <row r="3" spans="1:29" ht="27.75" customHeight="1" thickBot="1" x14ac:dyDescent="0.25">
      <c r="I3" s="28"/>
      <c r="K3" s="1028" t="s">
        <v>292</v>
      </c>
      <c r="L3" s="1029"/>
      <c r="M3" s="1030"/>
      <c r="N3" s="1028" t="s">
        <v>293</v>
      </c>
      <c r="O3" s="1029"/>
      <c r="P3" s="1030"/>
      <c r="Q3" s="1028" t="s">
        <v>294</v>
      </c>
      <c r="R3" s="1029"/>
      <c r="S3" s="1030"/>
      <c r="T3" s="1028" t="s">
        <v>295</v>
      </c>
      <c r="U3" s="1029"/>
      <c r="V3" s="1030"/>
      <c r="W3" s="1028" t="s">
        <v>296</v>
      </c>
      <c r="X3" s="1029"/>
      <c r="Y3" s="1030"/>
      <c r="Z3" s="10"/>
    </row>
    <row r="4" spans="1:29" ht="35.25" customHeight="1" x14ac:dyDescent="0.2">
      <c r="A4" s="219" t="s">
        <v>297</v>
      </c>
      <c r="B4" s="668" t="s">
        <v>298</v>
      </c>
      <c r="C4" s="668" t="s">
        <v>299</v>
      </c>
      <c r="D4" s="668" t="s">
        <v>300</v>
      </c>
      <c r="E4" s="668" t="s">
        <v>301</v>
      </c>
      <c r="F4" s="668" t="s">
        <v>302</v>
      </c>
      <c r="G4" s="670" t="s">
        <v>303</v>
      </c>
      <c r="H4" s="668" t="s">
        <v>304</v>
      </c>
      <c r="I4" s="670" t="s">
        <v>305</v>
      </c>
      <c r="J4" s="675" t="s">
        <v>306</v>
      </c>
      <c r="K4" s="275" t="s">
        <v>307</v>
      </c>
      <c r="L4" s="273" t="s">
        <v>308</v>
      </c>
      <c r="M4" s="273" t="s">
        <v>309</v>
      </c>
      <c r="N4" s="275" t="s">
        <v>307</v>
      </c>
      <c r="O4" s="273" t="s">
        <v>308</v>
      </c>
      <c r="P4" s="273" t="s">
        <v>309</v>
      </c>
      <c r="Q4" s="650" t="s">
        <v>307</v>
      </c>
      <c r="R4" s="278" t="s">
        <v>308</v>
      </c>
      <c r="S4" s="651" t="s">
        <v>309</v>
      </c>
      <c r="T4" s="275" t="s">
        <v>307</v>
      </c>
      <c r="U4" s="273" t="s">
        <v>308</v>
      </c>
      <c r="V4" s="273" t="s">
        <v>309</v>
      </c>
      <c r="W4" s="275" t="s">
        <v>307</v>
      </c>
      <c r="X4" s="273" t="s">
        <v>308</v>
      </c>
      <c r="Y4" s="274" t="s">
        <v>309</v>
      </c>
      <c r="Z4" s="276" t="s">
        <v>310</v>
      </c>
      <c r="AA4" s="272" t="s">
        <v>311</v>
      </c>
      <c r="AB4" s="277" t="s">
        <v>312</v>
      </c>
      <c r="AC4" s="278" t="s">
        <v>313</v>
      </c>
    </row>
    <row r="5" spans="1:29" ht="18.75" customHeight="1" x14ac:dyDescent="0.2">
      <c r="A5" s="671"/>
      <c r="B5" s="669"/>
      <c r="C5" s="728"/>
      <c r="D5" s="728"/>
      <c r="E5" s="669"/>
      <c r="F5" s="669"/>
      <c r="G5" s="669"/>
      <c r="H5" s="669"/>
      <c r="I5" s="728"/>
      <c r="J5" s="729"/>
      <c r="K5" s="673"/>
      <c r="L5" s="252">
        <v>38411</v>
      </c>
      <c r="M5" s="543"/>
      <c r="N5" s="49"/>
      <c r="O5" s="631">
        <v>32025</v>
      </c>
      <c r="P5" s="544"/>
      <c r="Q5" s="49"/>
      <c r="R5" s="252">
        <v>37151</v>
      </c>
      <c r="S5" s="544"/>
      <c r="T5" s="49"/>
      <c r="U5" s="728">
        <v>35506</v>
      </c>
      <c r="V5" s="544"/>
      <c r="W5" s="49"/>
      <c r="X5" s="631">
        <v>23836</v>
      </c>
      <c r="Y5" s="544"/>
      <c r="Z5" s="544"/>
      <c r="AA5" s="6"/>
      <c r="AB5" s="6"/>
      <c r="AC5" s="545"/>
    </row>
    <row r="6" spans="1:29" ht="20.100000000000001" customHeight="1" x14ac:dyDescent="0.2">
      <c r="A6" s="672">
        <f>Gen!B11</f>
        <v>44531</v>
      </c>
      <c r="B6" s="727">
        <f>Gen!C11</f>
        <v>5.1900000000000002E-2</v>
      </c>
      <c r="C6" s="645">
        <v>26400.87</v>
      </c>
      <c r="D6" s="252">
        <v>16818.689999999999</v>
      </c>
      <c r="E6" s="252"/>
      <c r="F6" s="725"/>
      <c r="G6" s="760">
        <v>55.31</v>
      </c>
      <c r="H6" s="826"/>
      <c r="I6" s="725">
        <v>33422.199999999997</v>
      </c>
      <c r="J6" s="725">
        <v>22226.7</v>
      </c>
      <c r="K6" s="674">
        <f>L5</f>
        <v>38411</v>
      </c>
      <c r="L6" s="252">
        <v>38425</v>
      </c>
      <c r="M6" s="251">
        <f>L6-K6</f>
        <v>14</v>
      </c>
      <c r="N6" s="773">
        <f>O5</f>
        <v>32025</v>
      </c>
      <c r="O6" s="725">
        <v>32025</v>
      </c>
      <c r="P6" s="674">
        <f>O6-N6</f>
        <v>0</v>
      </c>
      <c r="Q6" s="251">
        <f>R5</f>
        <v>37151</v>
      </c>
      <c r="R6" s="252">
        <v>37157</v>
      </c>
      <c r="S6" s="251">
        <f>R6-Q6</f>
        <v>6</v>
      </c>
      <c r="T6" s="774">
        <f>U5</f>
        <v>35506</v>
      </c>
      <c r="U6" s="725">
        <v>35516</v>
      </c>
      <c r="V6" s="674">
        <f>U6-T6</f>
        <v>10</v>
      </c>
      <c r="W6" s="773">
        <f>X5</f>
        <v>23836</v>
      </c>
      <c r="X6" s="725">
        <v>23836</v>
      </c>
      <c r="Y6" s="674">
        <f>X6-W6</f>
        <v>0</v>
      </c>
      <c r="Z6" s="254">
        <f>Y6+V6+S6+P6+M6</f>
        <v>30</v>
      </c>
      <c r="AA6" s="6">
        <v>320</v>
      </c>
      <c r="AB6" s="6">
        <v>140</v>
      </c>
      <c r="AC6" s="547">
        <f>Gen!T11</f>
        <v>1340.69</v>
      </c>
    </row>
    <row r="7" spans="1:29" ht="20.100000000000001" customHeight="1" x14ac:dyDescent="0.2">
      <c r="A7" s="672">
        <f>Gen!B12</f>
        <v>44532</v>
      </c>
      <c r="B7" s="727">
        <f>Gen!C12</f>
        <v>0.05</v>
      </c>
      <c r="C7" s="645">
        <v>26400.87</v>
      </c>
      <c r="D7" s="776">
        <v>15422.69</v>
      </c>
      <c r="E7" s="252"/>
      <c r="F7" s="762"/>
      <c r="G7" s="725">
        <v>596.04</v>
      </c>
      <c r="H7" s="827"/>
      <c r="I7" s="728">
        <v>33427.9</v>
      </c>
      <c r="J7" s="729">
        <v>22230.1</v>
      </c>
      <c r="K7" s="674">
        <f t="shared" ref="K7:K37" si="0">L6</f>
        <v>38425</v>
      </c>
      <c r="L7" s="252">
        <v>38425</v>
      </c>
      <c r="M7" s="251">
        <f t="shared" ref="M7:M37" si="1">L7-K7</f>
        <v>0</v>
      </c>
      <c r="N7" s="773">
        <f t="shared" ref="N7:N37" si="2">O6</f>
        <v>32025</v>
      </c>
      <c r="O7" s="725">
        <v>32025</v>
      </c>
      <c r="P7" s="674">
        <f t="shared" ref="P7:P37" si="3">O7-N7</f>
        <v>0</v>
      </c>
      <c r="Q7" s="251">
        <f t="shared" ref="Q7:Q37" si="4">R6</f>
        <v>37157</v>
      </c>
      <c r="R7" s="252">
        <v>37165</v>
      </c>
      <c r="S7" s="251">
        <f>R7-Q7</f>
        <v>8</v>
      </c>
      <c r="T7" s="774">
        <f t="shared" ref="T7:T37" si="5">U6</f>
        <v>35516</v>
      </c>
      <c r="U7" s="725">
        <v>35526</v>
      </c>
      <c r="V7" s="674">
        <f>U7-T7</f>
        <v>10</v>
      </c>
      <c r="W7" s="773">
        <f t="shared" ref="W7:W37" si="6">X6</f>
        <v>23836</v>
      </c>
      <c r="X7" s="725">
        <v>23851</v>
      </c>
      <c r="Y7" s="674">
        <f>X7-W7</f>
        <v>15</v>
      </c>
      <c r="Z7" s="254">
        <f t="shared" ref="Z7:Z25" si="7">Y7+V7+S7+P7+M7</f>
        <v>33</v>
      </c>
      <c r="AA7" s="6">
        <v>295</v>
      </c>
      <c r="AB7" s="6">
        <v>125</v>
      </c>
      <c r="AC7" s="547">
        <f>Gen!T12</f>
        <v>1268.81</v>
      </c>
    </row>
    <row r="8" spans="1:29" ht="20.100000000000001" customHeight="1" x14ac:dyDescent="0.2">
      <c r="A8" s="672">
        <f>Gen!B13</f>
        <v>44533</v>
      </c>
      <c r="B8" s="727">
        <f>Gen!C13</f>
        <v>0.05</v>
      </c>
      <c r="C8" s="645">
        <v>26400.87</v>
      </c>
      <c r="D8" s="775">
        <v>13557.84</v>
      </c>
      <c r="E8" s="252"/>
      <c r="F8" s="762"/>
      <c r="G8" s="725"/>
      <c r="H8" s="725"/>
      <c r="I8" s="725">
        <v>33433.300000000003</v>
      </c>
      <c r="J8" s="725">
        <v>22233.200000000001</v>
      </c>
      <c r="K8" s="674">
        <f t="shared" si="0"/>
        <v>38425</v>
      </c>
      <c r="L8" s="252">
        <v>38439</v>
      </c>
      <c r="M8" s="251">
        <f t="shared" si="1"/>
        <v>14</v>
      </c>
      <c r="N8" s="773">
        <f t="shared" si="2"/>
        <v>32025</v>
      </c>
      <c r="O8" s="725">
        <v>32025</v>
      </c>
      <c r="P8" s="674">
        <f t="shared" si="3"/>
        <v>0</v>
      </c>
      <c r="Q8" s="251">
        <f t="shared" si="4"/>
        <v>37165</v>
      </c>
      <c r="R8" s="252">
        <v>37165</v>
      </c>
      <c r="S8" s="251">
        <f>R8-Q8</f>
        <v>0</v>
      </c>
      <c r="T8" s="774">
        <f t="shared" si="5"/>
        <v>35526</v>
      </c>
      <c r="U8" s="725">
        <v>35536</v>
      </c>
      <c r="V8" s="674">
        <f t="shared" ref="V8:V37" si="8">U8-T8</f>
        <v>10</v>
      </c>
      <c r="W8" s="773">
        <f t="shared" si="6"/>
        <v>23851</v>
      </c>
      <c r="X8" s="725">
        <v>23851</v>
      </c>
      <c r="Y8" s="674">
        <f t="shared" ref="Y8:Y37" si="9">X8-W8</f>
        <v>0</v>
      </c>
      <c r="Z8" s="254">
        <f t="shared" si="7"/>
        <v>24</v>
      </c>
      <c r="AA8" s="6">
        <v>290</v>
      </c>
      <c r="AB8" s="6">
        <v>125</v>
      </c>
      <c r="AC8" s="547">
        <f>Gen!T13</f>
        <v>1177.17</v>
      </c>
    </row>
    <row r="9" spans="1:29" ht="20.100000000000001" customHeight="1" x14ac:dyDescent="0.2">
      <c r="A9" s="672">
        <f>Gen!B14</f>
        <v>44534</v>
      </c>
      <c r="B9" s="727">
        <f>Gen!C14</f>
        <v>0.08</v>
      </c>
      <c r="C9" s="645">
        <v>26400.87</v>
      </c>
      <c r="D9" s="725">
        <v>12380.67</v>
      </c>
      <c r="E9" s="252"/>
      <c r="F9" s="762"/>
      <c r="G9" s="725">
        <v>199.51</v>
      </c>
      <c r="H9" s="725"/>
      <c r="I9" s="725">
        <v>33438.9</v>
      </c>
      <c r="J9" s="725">
        <v>22236.6</v>
      </c>
      <c r="K9" s="674">
        <f t="shared" si="0"/>
        <v>38439</v>
      </c>
      <c r="L9" s="252">
        <v>38440</v>
      </c>
      <c r="M9" s="251">
        <f t="shared" si="1"/>
        <v>1</v>
      </c>
      <c r="N9" s="773">
        <f t="shared" si="2"/>
        <v>32025</v>
      </c>
      <c r="O9" s="725">
        <v>32025</v>
      </c>
      <c r="P9" s="674">
        <f t="shared" si="3"/>
        <v>0</v>
      </c>
      <c r="Q9" s="251">
        <f t="shared" si="4"/>
        <v>37165</v>
      </c>
      <c r="R9" s="252">
        <v>37165</v>
      </c>
      <c r="S9" s="251">
        <f t="shared" ref="S9:S36" si="10">R9-Q9</f>
        <v>0</v>
      </c>
      <c r="T9" s="774">
        <f t="shared" si="5"/>
        <v>35536</v>
      </c>
      <c r="U9" s="725">
        <v>35546</v>
      </c>
      <c r="V9" s="674">
        <f t="shared" si="8"/>
        <v>10</v>
      </c>
      <c r="W9" s="773">
        <f t="shared" si="6"/>
        <v>23851</v>
      </c>
      <c r="X9" s="725">
        <v>23865</v>
      </c>
      <c r="Y9" s="674">
        <f t="shared" si="9"/>
        <v>14</v>
      </c>
      <c r="Z9" s="254">
        <f>Y9+V9+S9+P9+M9</f>
        <v>25</v>
      </c>
      <c r="AA9" s="6">
        <v>278</v>
      </c>
      <c r="AB9" s="6">
        <v>116</v>
      </c>
      <c r="AC9" s="547">
        <f>Gen!T14</f>
        <v>1293.22</v>
      </c>
    </row>
    <row r="10" spans="1:29" ht="20.100000000000001" customHeight="1" x14ac:dyDescent="0.2">
      <c r="A10" s="672">
        <f>Gen!B15</f>
        <v>44535</v>
      </c>
      <c r="B10" s="727">
        <f>Gen!C15</f>
        <v>0.05</v>
      </c>
      <c r="C10" s="645">
        <v>26400.87</v>
      </c>
      <c r="D10" s="725">
        <v>10888.67</v>
      </c>
      <c r="E10" s="726"/>
      <c r="F10" s="762"/>
      <c r="G10" s="725">
        <v>53.33</v>
      </c>
      <c r="H10" s="725"/>
      <c r="I10" s="725">
        <v>33444.699999999997</v>
      </c>
      <c r="J10" s="725">
        <v>22240.2</v>
      </c>
      <c r="K10" s="674">
        <f t="shared" si="0"/>
        <v>38440</v>
      </c>
      <c r="L10" s="252">
        <v>38455</v>
      </c>
      <c r="M10" s="251">
        <f t="shared" si="1"/>
        <v>15</v>
      </c>
      <c r="N10" s="773">
        <f t="shared" si="2"/>
        <v>32025</v>
      </c>
      <c r="O10" s="725">
        <v>32025</v>
      </c>
      <c r="P10" s="674">
        <f t="shared" si="3"/>
        <v>0</v>
      </c>
      <c r="Q10" s="251">
        <f t="shared" si="4"/>
        <v>37165</v>
      </c>
      <c r="R10" s="252">
        <v>37165</v>
      </c>
      <c r="S10" s="251">
        <f t="shared" si="10"/>
        <v>0</v>
      </c>
      <c r="T10" s="774">
        <f t="shared" si="5"/>
        <v>35546</v>
      </c>
      <c r="U10" s="725">
        <v>35556</v>
      </c>
      <c r="V10" s="674">
        <f t="shared" si="8"/>
        <v>10</v>
      </c>
      <c r="W10" s="773">
        <f t="shared" si="6"/>
        <v>23865</v>
      </c>
      <c r="X10" s="725">
        <v>23865</v>
      </c>
      <c r="Y10" s="674">
        <f t="shared" si="9"/>
        <v>0</v>
      </c>
      <c r="Z10" s="254">
        <f t="shared" si="7"/>
        <v>25</v>
      </c>
      <c r="AA10" s="6">
        <v>280</v>
      </c>
      <c r="AB10" s="6">
        <v>115</v>
      </c>
      <c r="AC10" s="547">
        <f>Gen!T15</f>
        <v>1246.93</v>
      </c>
    </row>
    <row r="11" spans="1:29" ht="20.100000000000001" customHeight="1" x14ac:dyDescent="0.2">
      <c r="A11" s="672">
        <f>Gen!B16</f>
        <v>44536</v>
      </c>
      <c r="B11" s="727">
        <f>Gen!C16</f>
        <v>7.7899999999999997E-2</v>
      </c>
      <c r="C11" s="645">
        <v>26400.87</v>
      </c>
      <c r="D11" s="725">
        <v>9586.68</v>
      </c>
      <c r="E11" s="726"/>
      <c r="F11" s="762"/>
      <c r="G11" s="725">
        <v>67.400000000000006</v>
      </c>
      <c r="H11" s="725"/>
      <c r="I11" s="725">
        <v>33450.1</v>
      </c>
      <c r="J11" s="725">
        <v>22243.4</v>
      </c>
      <c r="K11" s="674">
        <f t="shared" si="0"/>
        <v>38455</v>
      </c>
      <c r="L11" s="252">
        <v>38455</v>
      </c>
      <c r="M11" s="251">
        <f t="shared" si="1"/>
        <v>0</v>
      </c>
      <c r="N11" s="773">
        <f t="shared" si="2"/>
        <v>32025</v>
      </c>
      <c r="O11" s="725">
        <v>32025</v>
      </c>
      <c r="P11" s="674">
        <f t="shared" si="3"/>
        <v>0</v>
      </c>
      <c r="Q11" s="251">
        <f t="shared" si="4"/>
        <v>37165</v>
      </c>
      <c r="R11" s="252">
        <v>37165</v>
      </c>
      <c r="S11" s="251">
        <f t="shared" si="10"/>
        <v>0</v>
      </c>
      <c r="T11" s="774">
        <f t="shared" si="5"/>
        <v>35556</v>
      </c>
      <c r="U11" s="725">
        <v>35566</v>
      </c>
      <c r="V11" s="674">
        <f t="shared" si="8"/>
        <v>10</v>
      </c>
      <c r="W11" s="773">
        <f t="shared" si="6"/>
        <v>23865</v>
      </c>
      <c r="X11" s="725">
        <v>23879</v>
      </c>
      <c r="Y11" s="674">
        <f t="shared" si="9"/>
        <v>14</v>
      </c>
      <c r="Z11" s="254">
        <f t="shared" si="7"/>
        <v>24</v>
      </c>
      <c r="AA11" s="6">
        <v>285</v>
      </c>
      <c r="AB11" s="6">
        <v>115</v>
      </c>
      <c r="AC11" s="547">
        <f>Gen!T16</f>
        <v>1325.89</v>
      </c>
    </row>
    <row r="12" spans="1:29" ht="20.100000000000001" customHeight="1" x14ac:dyDescent="0.2">
      <c r="A12" s="672">
        <f>Gen!B17</f>
        <v>44537</v>
      </c>
      <c r="B12" s="727">
        <f>Gen!C17</f>
        <v>7.7899999999999997E-2</v>
      </c>
      <c r="C12" s="645">
        <v>26400.87</v>
      </c>
      <c r="D12" s="725">
        <v>8193.39</v>
      </c>
      <c r="E12" s="726"/>
      <c r="F12" s="762"/>
      <c r="G12" s="725">
        <v>135.94</v>
      </c>
      <c r="H12" s="725"/>
      <c r="I12" s="725">
        <v>33456.1</v>
      </c>
      <c r="J12">
        <v>22246.799999999999</v>
      </c>
      <c r="K12" s="674">
        <f t="shared" si="0"/>
        <v>38455</v>
      </c>
      <c r="L12" s="252">
        <v>38470</v>
      </c>
      <c r="M12" s="251">
        <f t="shared" si="1"/>
        <v>15</v>
      </c>
      <c r="N12" s="773">
        <f t="shared" si="2"/>
        <v>32025</v>
      </c>
      <c r="O12" s="725">
        <v>32025</v>
      </c>
      <c r="P12" s="674">
        <f t="shared" si="3"/>
        <v>0</v>
      </c>
      <c r="Q12" s="251">
        <f t="shared" si="4"/>
        <v>37165</v>
      </c>
      <c r="R12" s="252">
        <v>37165</v>
      </c>
      <c r="S12" s="251">
        <f>R12-Q12</f>
        <v>0</v>
      </c>
      <c r="T12" s="251">
        <f t="shared" si="5"/>
        <v>35566</v>
      </c>
      <c r="U12" s="728">
        <v>35575</v>
      </c>
      <c r="V12" s="251">
        <f t="shared" si="8"/>
        <v>9</v>
      </c>
      <c r="W12" s="773">
        <f t="shared" si="6"/>
        <v>23879</v>
      </c>
      <c r="X12" s="725">
        <v>23879</v>
      </c>
      <c r="Y12" s="674">
        <f t="shared" si="9"/>
        <v>0</v>
      </c>
      <c r="Z12" s="254">
        <f>Y12+V12+S12+P12+M12</f>
        <v>24</v>
      </c>
      <c r="AA12" s="6">
        <v>290</v>
      </c>
      <c r="AB12" s="6">
        <v>120</v>
      </c>
      <c r="AC12" s="547">
        <f>Gen!T17</f>
        <v>1368.94</v>
      </c>
    </row>
    <row r="13" spans="1:29" ht="20.100000000000001" customHeight="1" x14ac:dyDescent="0.2">
      <c r="A13" s="672">
        <f>Gen!B18</f>
        <v>44538</v>
      </c>
      <c r="B13" s="727">
        <f>Gen!C18</f>
        <v>0.12</v>
      </c>
      <c r="C13" s="645">
        <v>26400.87</v>
      </c>
      <c r="D13" s="725">
        <v>6688.51</v>
      </c>
      <c r="E13" s="726"/>
      <c r="F13" s="762"/>
      <c r="G13" s="725">
        <v>83.59</v>
      </c>
      <c r="H13" s="725"/>
      <c r="I13" s="725">
        <v>33462.199999999997</v>
      </c>
      <c r="J13" s="725">
        <v>22250.7</v>
      </c>
      <c r="K13" s="674">
        <f t="shared" si="0"/>
        <v>38470</v>
      </c>
      <c r="L13" s="252">
        <v>38470</v>
      </c>
      <c r="M13" s="251">
        <f t="shared" si="1"/>
        <v>0</v>
      </c>
      <c r="N13" s="773">
        <f>O12</f>
        <v>32025</v>
      </c>
      <c r="O13" s="725">
        <v>32025</v>
      </c>
      <c r="P13" s="674">
        <f>O13-O12</f>
        <v>0</v>
      </c>
      <c r="Q13" s="251">
        <f t="shared" si="4"/>
        <v>37165</v>
      </c>
      <c r="R13" s="252">
        <v>37181</v>
      </c>
      <c r="S13" s="251">
        <f t="shared" ref="S13:S14" si="11">R13-Q13</f>
        <v>16</v>
      </c>
      <c r="T13" s="251">
        <f t="shared" si="5"/>
        <v>35575</v>
      </c>
      <c r="U13" s="6">
        <v>35575</v>
      </c>
      <c r="V13" s="251">
        <f t="shared" si="8"/>
        <v>0</v>
      </c>
      <c r="W13" s="773">
        <f t="shared" si="6"/>
        <v>23879</v>
      </c>
      <c r="X13" s="725">
        <v>23895</v>
      </c>
      <c r="Y13" s="674">
        <f t="shared" si="9"/>
        <v>16</v>
      </c>
      <c r="Z13" s="254">
        <f>Y13+V13+S13+P13+M13</f>
        <v>32</v>
      </c>
      <c r="AA13" s="6">
        <v>295</v>
      </c>
      <c r="AB13" s="6">
        <v>120</v>
      </c>
      <c r="AC13" s="547">
        <f>Gen!T18</f>
        <v>1527.6</v>
      </c>
    </row>
    <row r="14" spans="1:29" ht="20.100000000000001" customHeight="1" x14ac:dyDescent="0.2">
      <c r="A14" s="672">
        <f>Gen!B19</f>
        <v>44539</v>
      </c>
      <c r="B14" s="727">
        <f>Gen!C19</f>
        <v>0.09</v>
      </c>
      <c r="C14" s="645">
        <v>26400.87</v>
      </c>
      <c r="D14" s="725">
        <v>5077.32</v>
      </c>
      <c r="E14" s="726"/>
      <c r="F14" s="762"/>
      <c r="G14" s="725">
        <v>51.98</v>
      </c>
      <c r="H14" s="725"/>
      <c r="I14" s="725">
        <v>33468.300000000003</v>
      </c>
      <c r="J14" s="725">
        <v>22254.3</v>
      </c>
      <c r="K14" s="674">
        <f t="shared" si="0"/>
        <v>38470</v>
      </c>
      <c r="L14" s="252">
        <v>38484</v>
      </c>
      <c r="M14" s="251">
        <f t="shared" si="1"/>
        <v>14</v>
      </c>
      <c r="N14" s="773">
        <f>O14</f>
        <v>32025</v>
      </c>
      <c r="O14" s="725">
        <v>32025</v>
      </c>
      <c r="P14" s="674">
        <f>O14-O13</f>
        <v>0</v>
      </c>
      <c r="Q14" s="251">
        <f t="shared" si="4"/>
        <v>37181</v>
      </c>
      <c r="R14">
        <v>37192</v>
      </c>
      <c r="S14" s="251">
        <f t="shared" si="11"/>
        <v>11</v>
      </c>
      <c r="T14" s="251">
        <f t="shared" si="5"/>
        <v>35575</v>
      </c>
      <c r="U14" s="6">
        <v>35575</v>
      </c>
      <c r="V14" s="251">
        <f t="shared" si="8"/>
        <v>0</v>
      </c>
      <c r="W14" s="773">
        <f t="shared" si="6"/>
        <v>23895</v>
      </c>
      <c r="X14" s="725">
        <v>23895</v>
      </c>
      <c r="Y14" s="674">
        <f t="shared" si="9"/>
        <v>0</v>
      </c>
      <c r="Z14" s="254">
        <f>Y14+V14+S14+P14+M14</f>
        <v>25</v>
      </c>
      <c r="AA14" s="6">
        <v>285</v>
      </c>
      <c r="AB14" s="6">
        <v>120</v>
      </c>
      <c r="AC14" s="547">
        <f>Gen!T19</f>
        <v>1371.66</v>
      </c>
    </row>
    <row r="15" spans="1:29" ht="20.100000000000001" customHeight="1" x14ac:dyDescent="0.2">
      <c r="A15" s="672">
        <f>Gen!B20</f>
        <v>44540</v>
      </c>
      <c r="B15" s="727">
        <f>Gen!C20</f>
        <v>0.12</v>
      </c>
      <c r="C15" s="645">
        <v>26400.87</v>
      </c>
      <c r="D15" s="725">
        <v>3653.68</v>
      </c>
      <c r="E15" s="726"/>
      <c r="F15" s="762"/>
      <c r="G15" s="725">
        <v>448.65</v>
      </c>
      <c r="H15" s="725"/>
      <c r="I15" s="725">
        <v>33474.199999999997</v>
      </c>
      <c r="J15" s="725">
        <v>22258.1</v>
      </c>
      <c r="K15" s="674">
        <f t="shared" si="0"/>
        <v>38484</v>
      </c>
      <c r="L15" s="252">
        <v>38484</v>
      </c>
      <c r="M15" s="251">
        <f t="shared" si="1"/>
        <v>0</v>
      </c>
      <c r="N15" s="773">
        <f>O15</f>
        <v>32025</v>
      </c>
      <c r="O15" s="725">
        <v>32025</v>
      </c>
      <c r="P15" s="674">
        <f t="shared" ref="P15:P23" si="12">O15-O14</f>
        <v>0</v>
      </c>
      <c r="Q15" s="251">
        <f t="shared" si="4"/>
        <v>37192</v>
      </c>
      <c r="R15">
        <v>37192</v>
      </c>
      <c r="S15" s="251">
        <f t="shared" ref="S15:S16" si="13">R15-Q15</f>
        <v>0</v>
      </c>
      <c r="T15" s="251">
        <f t="shared" si="5"/>
        <v>35575</v>
      </c>
      <c r="U15" s="6">
        <v>35586</v>
      </c>
      <c r="V15" s="251">
        <f>U15-T15</f>
        <v>11</v>
      </c>
      <c r="W15" s="773">
        <f t="shared" si="6"/>
        <v>23895</v>
      </c>
      <c r="X15" s="725">
        <v>23909</v>
      </c>
      <c r="Y15" s="674">
        <f t="shared" si="9"/>
        <v>14</v>
      </c>
      <c r="Z15" s="254">
        <f t="shared" si="7"/>
        <v>25</v>
      </c>
      <c r="AA15" s="6">
        <v>280</v>
      </c>
      <c r="AB15" s="6">
        <v>115</v>
      </c>
      <c r="AC15" s="547">
        <f>Gen!T20</f>
        <v>1347.33</v>
      </c>
    </row>
    <row r="16" spans="1:29" ht="20.100000000000001" customHeight="1" x14ac:dyDescent="0.2">
      <c r="A16" s="672">
        <f>Gen!B21</f>
        <v>44541</v>
      </c>
      <c r="B16" s="727">
        <f>Gen!C21</f>
        <v>0.12</v>
      </c>
      <c r="C16" s="645">
        <v>26400.87</v>
      </c>
      <c r="D16" s="725">
        <v>1857.7</v>
      </c>
      <c r="E16" s="725"/>
      <c r="F16" s="762"/>
      <c r="G16" s="725">
        <v>37.869999999999997</v>
      </c>
      <c r="H16" s="725"/>
      <c r="I16" s="725">
        <v>33480</v>
      </c>
      <c r="J16" s="725">
        <v>22261.8</v>
      </c>
      <c r="K16" s="674">
        <f t="shared" si="0"/>
        <v>38484</v>
      </c>
      <c r="L16" s="252">
        <v>38499</v>
      </c>
      <c r="M16" s="251">
        <f>L16-K16</f>
        <v>15</v>
      </c>
      <c r="N16" s="773">
        <f t="shared" si="2"/>
        <v>32025</v>
      </c>
      <c r="O16" s="725">
        <v>32025</v>
      </c>
      <c r="P16" s="674">
        <f t="shared" si="12"/>
        <v>0</v>
      </c>
      <c r="Q16" s="251">
        <f t="shared" si="4"/>
        <v>37192</v>
      </c>
      <c r="R16" s="252">
        <v>37208</v>
      </c>
      <c r="S16" s="251">
        <f t="shared" si="13"/>
        <v>16</v>
      </c>
      <c r="T16" s="251">
        <f>U14</f>
        <v>35575</v>
      </c>
      <c r="U16" s="6">
        <v>35586</v>
      </c>
      <c r="V16" s="251">
        <f>U16-T16</f>
        <v>11</v>
      </c>
      <c r="W16" s="773">
        <f t="shared" si="6"/>
        <v>23909</v>
      </c>
      <c r="X16" s="725">
        <v>23909</v>
      </c>
      <c r="Y16" s="674">
        <f t="shared" si="9"/>
        <v>0</v>
      </c>
      <c r="Z16" s="254">
        <f t="shared" si="7"/>
        <v>42</v>
      </c>
      <c r="AA16" s="6">
        <v>285</v>
      </c>
      <c r="AB16" s="6">
        <v>120</v>
      </c>
      <c r="AC16" s="547">
        <f>Gen!T21</f>
        <v>1512.79</v>
      </c>
    </row>
    <row r="17" spans="1:29" ht="20.100000000000001" customHeight="1" x14ac:dyDescent="0.2">
      <c r="A17" s="672">
        <f>Gen!B22</f>
        <v>44542</v>
      </c>
      <c r="B17" s="727">
        <f>Gen!C22</f>
        <v>0.12</v>
      </c>
      <c r="C17" s="725">
        <v>24850.21</v>
      </c>
      <c r="D17" s="725">
        <v>1857.7</v>
      </c>
      <c r="E17" s="726"/>
      <c r="F17" s="762"/>
      <c r="G17" s="725">
        <v>68.16</v>
      </c>
      <c r="H17" s="725"/>
      <c r="I17" s="725">
        <v>33486.199999999997</v>
      </c>
      <c r="J17" s="725">
        <v>22266.1</v>
      </c>
      <c r="K17" s="674">
        <f>L16</f>
        <v>38499</v>
      </c>
      <c r="L17" s="252">
        <v>38499</v>
      </c>
      <c r="M17" s="251">
        <f>L17-K17</f>
        <v>0</v>
      </c>
      <c r="N17" s="773">
        <f t="shared" si="2"/>
        <v>32025</v>
      </c>
      <c r="O17" s="725">
        <v>32025</v>
      </c>
      <c r="P17" s="674">
        <f t="shared" si="12"/>
        <v>0</v>
      </c>
      <c r="Q17" s="251">
        <f t="shared" si="4"/>
        <v>37208</v>
      </c>
      <c r="R17" s="252">
        <v>37218</v>
      </c>
      <c r="S17" s="251">
        <f t="shared" si="10"/>
        <v>10</v>
      </c>
      <c r="T17" s="251">
        <f t="shared" si="5"/>
        <v>35586</v>
      </c>
      <c r="U17" s="6">
        <v>35586</v>
      </c>
      <c r="V17" s="251">
        <f t="shared" ref="V17:V21" si="14">U17-T17</f>
        <v>0</v>
      </c>
      <c r="W17" s="773">
        <f t="shared" si="6"/>
        <v>23909</v>
      </c>
      <c r="X17" s="725">
        <v>23924</v>
      </c>
      <c r="Y17" s="674">
        <f t="shared" si="9"/>
        <v>15</v>
      </c>
      <c r="Z17" s="254">
        <f t="shared" si="7"/>
        <v>25</v>
      </c>
      <c r="AA17" s="6">
        <v>350</v>
      </c>
      <c r="AB17" s="6">
        <v>140</v>
      </c>
      <c r="AC17" s="547">
        <f>Gen!T22</f>
        <v>1485.24</v>
      </c>
    </row>
    <row r="18" spans="1:29" ht="20.100000000000001" customHeight="1" x14ac:dyDescent="0.2">
      <c r="A18" s="672">
        <f>Gen!B23</f>
        <v>44543</v>
      </c>
      <c r="B18" s="727">
        <f>Gen!C23</f>
        <v>0.16</v>
      </c>
      <c r="C18" s="725">
        <v>23296.81</v>
      </c>
      <c r="D18" s="725">
        <v>1857.7</v>
      </c>
      <c r="E18" s="725"/>
      <c r="F18" s="762"/>
      <c r="G18" s="725">
        <v>103.25</v>
      </c>
      <c r="H18" s="725"/>
      <c r="I18" s="725">
        <v>33492.699999999997</v>
      </c>
      <c r="J18" s="725">
        <v>22270</v>
      </c>
      <c r="K18" s="674">
        <f>L17</f>
        <v>38499</v>
      </c>
      <c r="L18" s="252">
        <v>38513</v>
      </c>
      <c r="M18" s="251">
        <f>L18-K18</f>
        <v>14</v>
      </c>
      <c r="N18" s="773">
        <f t="shared" si="2"/>
        <v>32025</v>
      </c>
      <c r="O18" s="725">
        <v>32025</v>
      </c>
      <c r="P18" s="674">
        <f t="shared" si="12"/>
        <v>0</v>
      </c>
      <c r="Q18" s="251">
        <f t="shared" si="4"/>
        <v>37218</v>
      </c>
      <c r="R18" s="252">
        <v>37228</v>
      </c>
      <c r="S18" s="251">
        <f t="shared" si="10"/>
        <v>10</v>
      </c>
      <c r="T18" s="251">
        <f t="shared" si="5"/>
        <v>35586</v>
      </c>
      <c r="U18" s="6">
        <v>35592</v>
      </c>
      <c r="V18" s="251">
        <f t="shared" si="14"/>
        <v>6</v>
      </c>
      <c r="W18" s="773">
        <f t="shared" si="6"/>
        <v>23924</v>
      </c>
      <c r="X18" s="725">
        <v>23924</v>
      </c>
      <c r="Y18" s="674">
        <f t="shared" si="9"/>
        <v>0</v>
      </c>
      <c r="Z18" s="254">
        <f t="shared" si="7"/>
        <v>30</v>
      </c>
      <c r="AA18" s="6">
        <v>370</v>
      </c>
      <c r="AB18" s="6">
        <v>145</v>
      </c>
      <c r="AC18" s="547">
        <f>Gen!T23</f>
        <v>1579.63</v>
      </c>
    </row>
    <row r="19" spans="1:29" ht="20.100000000000001" customHeight="1" x14ac:dyDescent="0.2">
      <c r="A19" s="672">
        <f>Gen!B24</f>
        <v>44544</v>
      </c>
      <c r="B19" s="727">
        <f>Gen!C24</f>
        <v>0.17</v>
      </c>
      <c r="C19" s="725">
        <v>22670.93</v>
      </c>
      <c r="D19" s="725">
        <v>18800.7</v>
      </c>
      <c r="E19" s="725"/>
      <c r="F19" s="762"/>
      <c r="G19" s="725">
        <v>194.5</v>
      </c>
      <c r="H19" s="725"/>
      <c r="I19" s="725">
        <v>33499.800000000003</v>
      </c>
      <c r="J19" s="725">
        <v>22274.1</v>
      </c>
      <c r="K19" s="674">
        <f>L18</f>
        <v>38513</v>
      </c>
      <c r="L19" s="252">
        <v>38513</v>
      </c>
      <c r="M19" s="251">
        <f t="shared" si="1"/>
        <v>0</v>
      </c>
      <c r="N19" s="773">
        <f t="shared" si="2"/>
        <v>32025</v>
      </c>
      <c r="O19" s="725">
        <v>32025</v>
      </c>
      <c r="P19" s="674">
        <f t="shared" si="12"/>
        <v>0</v>
      </c>
      <c r="Q19" s="251">
        <f t="shared" si="4"/>
        <v>37228</v>
      </c>
      <c r="R19" s="252">
        <v>37238</v>
      </c>
      <c r="S19" s="251">
        <f t="shared" si="10"/>
        <v>10</v>
      </c>
      <c r="T19" s="251">
        <f t="shared" si="5"/>
        <v>35592</v>
      </c>
      <c r="U19" s="6">
        <v>35592</v>
      </c>
      <c r="V19" s="251">
        <f t="shared" si="14"/>
        <v>0</v>
      </c>
      <c r="W19" s="773">
        <f t="shared" si="6"/>
        <v>23924</v>
      </c>
      <c r="X19" s="725">
        <v>23939</v>
      </c>
      <c r="Y19" s="674">
        <f t="shared" si="9"/>
        <v>15</v>
      </c>
      <c r="Z19" s="254">
        <f t="shared" si="7"/>
        <v>25</v>
      </c>
      <c r="AA19" s="6">
        <v>350</v>
      </c>
      <c r="AB19" s="6">
        <v>140</v>
      </c>
      <c r="AC19" s="547">
        <f>Gen!T24</f>
        <v>1342.22</v>
      </c>
    </row>
    <row r="20" spans="1:29" ht="20.100000000000001" customHeight="1" x14ac:dyDescent="0.2">
      <c r="A20" s="672">
        <f>Gen!B25</f>
        <v>44545</v>
      </c>
      <c r="B20" s="727">
        <f>Gen!C25</f>
        <v>0.18</v>
      </c>
      <c r="C20" s="725">
        <v>21134.21</v>
      </c>
      <c r="D20" s="725">
        <v>18800.7</v>
      </c>
      <c r="E20" s="725"/>
      <c r="F20" s="762"/>
      <c r="G20" s="725"/>
      <c r="H20" s="725"/>
      <c r="I20" s="725">
        <v>33506.1</v>
      </c>
      <c r="J20" s="725">
        <v>22277.8</v>
      </c>
      <c r="K20" s="674">
        <f t="shared" si="0"/>
        <v>38513</v>
      </c>
      <c r="L20" s="252">
        <v>38530</v>
      </c>
      <c r="M20" s="251">
        <f t="shared" si="1"/>
        <v>17</v>
      </c>
      <c r="N20" s="773">
        <f t="shared" si="2"/>
        <v>32025</v>
      </c>
      <c r="O20" s="725">
        <v>32025</v>
      </c>
      <c r="P20" s="674">
        <f t="shared" si="12"/>
        <v>0</v>
      </c>
      <c r="Q20" s="251">
        <f t="shared" si="4"/>
        <v>37238</v>
      </c>
      <c r="R20" s="252">
        <v>37248</v>
      </c>
      <c r="S20" s="251">
        <f>R20-Q20</f>
        <v>10</v>
      </c>
      <c r="T20" s="251">
        <f t="shared" si="5"/>
        <v>35592</v>
      </c>
      <c r="U20" s="252">
        <v>35603</v>
      </c>
      <c r="V20" s="251">
        <f t="shared" si="14"/>
        <v>11</v>
      </c>
      <c r="W20" s="773">
        <f t="shared" si="6"/>
        <v>23939</v>
      </c>
      <c r="X20" s="725">
        <v>23939</v>
      </c>
      <c r="Y20" s="674">
        <f t="shared" si="9"/>
        <v>0</v>
      </c>
      <c r="Z20" s="254">
        <f t="shared" si="7"/>
        <v>38</v>
      </c>
      <c r="AA20" s="6">
        <v>370</v>
      </c>
      <c r="AB20" s="6">
        <v>135</v>
      </c>
      <c r="AC20" s="547">
        <f>Gen!T25</f>
        <v>1601.9099999999999</v>
      </c>
    </row>
    <row r="21" spans="1:29" ht="20.100000000000001" customHeight="1" x14ac:dyDescent="0.2">
      <c r="A21" s="672">
        <f>Gen!B26</f>
        <v>44546</v>
      </c>
      <c r="B21" s="727">
        <f>Gen!C26</f>
        <v>0.16</v>
      </c>
      <c r="C21" s="725">
        <v>19532.3</v>
      </c>
      <c r="D21" s="725">
        <v>18800.7</v>
      </c>
      <c r="E21" s="725"/>
      <c r="F21" s="762"/>
      <c r="G21" s="725">
        <v>176.76</v>
      </c>
      <c r="H21" s="725"/>
      <c r="I21" s="725">
        <v>33512.699999999997</v>
      </c>
      <c r="J21" s="725">
        <v>22281.4</v>
      </c>
      <c r="K21" s="674">
        <f t="shared" si="0"/>
        <v>38530</v>
      </c>
      <c r="L21" s="252">
        <v>38531</v>
      </c>
      <c r="M21" s="251">
        <f t="shared" si="1"/>
        <v>1</v>
      </c>
      <c r="N21" s="253">
        <f t="shared" si="2"/>
        <v>32025</v>
      </c>
      <c r="O21" s="725">
        <v>32025</v>
      </c>
      <c r="P21" s="674">
        <f t="shared" si="12"/>
        <v>0</v>
      </c>
      <c r="Q21" s="251">
        <f t="shared" si="4"/>
        <v>37248</v>
      </c>
      <c r="R21" s="252">
        <v>37258</v>
      </c>
      <c r="S21" s="251">
        <f>R21-Q21</f>
        <v>10</v>
      </c>
      <c r="T21" s="251">
        <f t="shared" si="5"/>
        <v>35603</v>
      </c>
      <c r="U21" s="252">
        <v>35603</v>
      </c>
      <c r="V21" s="251">
        <f t="shared" si="14"/>
        <v>0</v>
      </c>
      <c r="W21" s="773">
        <f t="shared" si="6"/>
        <v>23939</v>
      </c>
      <c r="X21" s="725">
        <v>23954</v>
      </c>
      <c r="Y21" s="674">
        <f t="shared" si="9"/>
        <v>15</v>
      </c>
      <c r="Z21" s="254">
        <f t="shared" si="7"/>
        <v>26</v>
      </c>
      <c r="AA21" s="6">
        <v>350</v>
      </c>
      <c r="AB21" s="6">
        <v>140</v>
      </c>
      <c r="AC21" s="547">
        <f>Gen!T26</f>
        <v>1526.57</v>
      </c>
    </row>
    <row r="22" spans="1:29" ht="18.75" customHeight="1" x14ac:dyDescent="0.2">
      <c r="A22" s="672">
        <f>Gen!B27</f>
        <v>44547</v>
      </c>
      <c r="B22" s="727">
        <f>Gen!C27</f>
        <v>0.16</v>
      </c>
      <c r="C22" s="725">
        <v>24800.7</v>
      </c>
      <c r="D22" s="725">
        <v>26828.97</v>
      </c>
      <c r="E22" s="725"/>
      <c r="F22" s="762"/>
      <c r="G22" s="725">
        <v>115.53</v>
      </c>
      <c r="H22" s="725"/>
      <c r="I22" s="725">
        <v>33519.5</v>
      </c>
      <c r="J22" s="725">
        <v>22285.5</v>
      </c>
      <c r="K22" s="674">
        <f t="shared" si="0"/>
        <v>38531</v>
      </c>
      <c r="L22" s="252">
        <v>38546</v>
      </c>
      <c r="M22" s="251">
        <f t="shared" si="1"/>
        <v>15</v>
      </c>
      <c r="N22" s="253">
        <f t="shared" si="2"/>
        <v>32025</v>
      </c>
      <c r="O22" s="6">
        <v>32025</v>
      </c>
      <c r="P22" s="674">
        <f t="shared" si="12"/>
        <v>0</v>
      </c>
      <c r="Q22" s="251">
        <f t="shared" si="4"/>
        <v>37258</v>
      </c>
      <c r="R22" s="252">
        <v>37258</v>
      </c>
      <c r="S22" s="251">
        <f t="shared" ref="S22:S24" si="15">R22-Q22</f>
        <v>0</v>
      </c>
      <c r="T22" s="251">
        <f t="shared" si="5"/>
        <v>35603</v>
      </c>
      <c r="U22" s="252">
        <v>35613</v>
      </c>
      <c r="V22" s="251">
        <f t="shared" si="8"/>
        <v>10</v>
      </c>
      <c r="W22" s="253">
        <f t="shared" si="6"/>
        <v>23954</v>
      </c>
      <c r="X22" s="252">
        <v>23954</v>
      </c>
      <c r="Y22" s="251">
        <f t="shared" si="9"/>
        <v>0</v>
      </c>
      <c r="Z22" s="254">
        <f t="shared" si="7"/>
        <v>25</v>
      </c>
      <c r="AA22" s="6">
        <v>320</v>
      </c>
      <c r="AB22" s="6">
        <v>145</v>
      </c>
      <c r="AC22" s="547">
        <f>Gen!T27</f>
        <v>1519.37</v>
      </c>
    </row>
    <row r="23" spans="1:29" ht="20.100000000000001" customHeight="1" x14ac:dyDescent="0.2">
      <c r="A23" s="672">
        <f>Gen!B28</f>
        <v>44548</v>
      </c>
      <c r="B23" s="727">
        <f>Gen!C28</f>
        <v>0.13</v>
      </c>
      <c r="C23" s="725">
        <v>24800.7</v>
      </c>
      <c r="D23" s="252">
        <v>25194.07</v>
      </c>
      <c r="E23" s="726"/>
      <c r="F23" s="762"/>
      <c r="G23" s="725">
        <v>347</v>
      </c>
      <c r="H23" s="725"/>
      <c r="I23" s="725">
        <v>33526.300000000003</v>
      </c>
      <c r="J23" s="725">
        <v>22289.4</v>
      </c>
      <c r="K23" s="674">
        <f t="shared" si="0"/>
        <v>38546</v>
      </c>
      <c r="L23" s="252">
        <v>38546</v>
      </c>
      <c r="M23" s="251">
        <f t="shared" si="1"/>
        <v>0</v>
      </c>
      <c r="N23" s="253">
        <f t="shared" si="2"/>
        <v>32025</v>
      </c>
      <c r="O23" s="6">
        <v>32025</v>
      </c>
      <c r="P23" s="674">
        <f t="shared" si="12"/>
        <v>0</v>
      </c>
      <c r="Q23" s="251">
        <f t="shared" si="4"/>
        <v>37258</v>
      </c>
      <c r="R23" s="252">
        <v>37268</v>
      </c>
      <c r="S23" s="251">
        <f t="shared" si="15"/>
        <v>10</v>
      </c>
      <c r="T23" s="251">
        <f t="shared" si="5"/>
        <v>35613</v>
      </c>
      <c r="U23" s="252">
        <v>35613</v>
      </c>
      <c r="V23" s="251">
        <f t="shared" si="8"/>
        <v>0</v>
      </c>
      <c r="W23" s="253">
        <f t="shared" si="6"/>
        <v>23954</v>
      </c>
      <c r="X23" s="252">
        <v>23968</v>
      </c>
      <c r="Y23" s="251">
        <f t="shared" si="9"/>
        <v>14</v>
      </c>
      <c r="Z23" s="254">
        <f t="shared" si="7"/>
        <v>24</v>
      </c>
      <c r="AA23" s="6">
        <v>350</v>
      </c>
      <c r="AB23" s="6">
        <v>140</v>
      </c>
      <c r="AC23" s="547">
        <f>Gen!T28</f>
        <v>1531.62</v>
      </c>
    </row>
    <row r="24" spans="1:29" ht="20.100000000000001" customHeight="1" x14ac:dyDescent="0.2">
      <c r="A24" s="672">
        <f>Gen!B29</f>
        <v>44549</v>
      </c>
      <c r="B24" s="727">
        <f>Gen!C29</f>
        <v>0.12</v>
      </c>
      <c r="C24" s="725">
        <v>24800.7</v>
      </c>
      <c r="D24" s="252">
        <v>23315.45</v>
      </c>
      <c r="E24" s="725"/>
      <c r="F24" s="762"/>
      <c r="G24" s="725">
        <v>28.9</v>
      </c>
      <c r="H24" s="725"/>
      <c r="I24" s="725">
        <v>33533.1</v>
      </c>
      <c r="J24" s="725">
        <v>22293.7</v>
      </c>
      <c r="K24" s="674">
        <f t="shared" si="0"/>
        <v>38546</v>
      </c>
      <c r="L24" s="252">
        <v>38556</v>
      </c>
      <c r="M24" s="251">
        <f t="shared" si="1"/>
        <v>10</v>
      </c>
      <c r="N24" s="253">
        <f t="shared" si="2"/>
        <v>32025</v>
      </c>
      <c r="O24" s="6">
        <v>32025</v>
      </c>
      <c r="P24" s="251">
        <f t="shared" si="3"/>
        <v>0</v>
      </c>
      <c r="Q24" s="251">
        <f t="shared" si="4"/>
        <v>37268</v>
      </c>
      <c r="R24" s="252">
        <v>37284</v>
      </c>
      <c r="S24" s="251">
        <f t="shared" si="15"/>
        <v>16</v>
      </c>
      <c r="T24" s="251">
        <f t="shared" si="5"/>
        <v>35613</v>
      </c>
      <c r="U24" s="252">
        <v>35613</v>
      </c>
      <c r="V24" s="251">
        <f t="shared" si="8"/>
        <v>0</v>
      </c>
      <c r="W24" s="253">
        <f t="shared" si="6"/>
        <v>23968</v>
      </c>
      <c r="X24" s="252">
        <v>23975</v>
      </c>
      <c r="Y24" s="251">
        <f t="shared" si="9"/>
        <v>7</v>
      </c>
      <c r="Z24" s="254">
        <f t="shared" si="7"/>
        <v>33</v>
      </c>
      <c r="AA24" s="6">
        <v>380</v>
      </c>
      <c r="AB24" s="6">
        <v>150</v>
      </c>
      <c r="AC24" s="547">
        <f>Gen!T29</f>
        <v>1590.6599999999999</v>
      </c>
    </row>
    <row r="25" spans="1:29" ht="18.75" customHeight="1" x14ac:dyDescent="0.2">
      <c r="A25" s="672">
        <f>Gen!B30</f>
        <v>44550</v>
      </c>
      <c r="B25" s="727">
        <f>Gen!C30</f>
        <v>0.06</v>
      </c>
      <c r="C25" s="725">
        <v>24800.7</v>
      </c>
      <c r="D25" s="252">
        <v>21695.89</v>
      </c>
      <c r="E25" s="725"/>
      <c r="F25" s="762"/>
      <c r="G25" s="725">
        <v>248.49</v>
      </c>
      <c r="H25" s="725"/>
      <c r="I25" s="725">
        <v>33540.1</v>
      </c>
      <c r="J25" s="725">
        <v>22297.9</v>
      </c>
      <c r="K25" s="674">
        <f t="shared" si="0"/>
        <v>38556</v>
      </c>
      <c r="L25" s="252">
        <v>38556</v>
      </c>
      <c r="M25" s="251">
        <f t="shared" si="1"/>
        <v>0</v>
      </c>
      <c r="N25" s="253">
        <f t="shared" si="2"/>
        <v>32025</v>
      </c>
      <c r="O25" s="6">
        <v>32025</v>
      </c>
      <c r="P25" s="251">
        <f t="shared" si="3"/>
        <v>0</v>
      </c>
      <c r="Q25" s="251">
        <f t="shared" si="4"/>
        <v>37284</v>
      </c>
      <c r="R25" s="252">
        <v>37294</v>
      </c>
      <c r="S25" s="251">
        <f t="shared" si="10"/>
        <v>10</v>
      </c>
      <c r="T25" s="251">
        <f t="shared" si="5"/>
        <v>35613</v>
      </c>
      <c r="U25" s="252">
        <v>35613</v>
      </c>
      <c r="V25" s="251">
        <f t="shared" si="8"/>
        <v>0</v>
      </c>
      <c r="W25" s="253">
        <f t="shared" si="6"/>
        <v>23975</v>
      </c>
      <c r="X25" s="252">
        <v>23989</v>
      </c>
      <c r="Y25" s="251">
        <f t="shared" si="9"/>
        <v>14</v>
      </c>
      <c r="Z25" s="254">
        <f t="shared" si="7"/>
        <v>24</v>
      </c>
      <c r="AA25" s="6">
        <v>355</v>
      </c>
      <c r="AB25" s="6">
        <v>145</v>
      </c>
      <c r="AC25" s="547">
        <f>Gen!T30</f>
        <v>1280.58</v>
      </c>
    </row>
    <row r="26" spans="1:29" ht="20.100000000000001" customHeight="1" x14ac:dyDescent="0.2">
      <c r="A26" s="672">
        <f>Gen!B31</f>
        <v>44551</v>
      </c>
      <c r="B26" s="727">
        <f>Gen!C31</f>
        <v>0.1</v>
      </c>
      <c r="C26" s="725">
        <v>24800.7</v>
      </c>
      <c r="D26" s="252">
        <v>20166.82</v>
      </c>
      <c r="E26" s="725"/>
      <c r="F26" s="762"/>
      <c r="G26" s="725">
        <v>81</v>
      </c>
      <c r="H26" s="725"/>
      <c r="I26" s="725">
        <v>33546.699999999997</v>
      </c>
      <c r="J26" s="725">
        <v>22301.7</v>
      </c>
      <c r="K26" s="674">
        <f t="shared" si="0"/>
        <v>38556</v>
      </c>
      <c r="L26" s="252">
        <v>38566</v>
      </c>
      <c r="M26" s="251">
        <f t="shared" si="1"/>
        <v>10</v>
      </c>
      <c r="N26" s="253">
        <f t="shared" si="2"/>
        <v>32025</v>
      </c>
      <c r="O26" s="6">
        <v>32025</v>
      </c>
      <c r="P26" s="251">
        <f t="shared" si="3"/>
        <v>0</v>
      </c>
      <c r="Q26" s="251">
        <f t="shared" si="4"/>
        <v>37294</v>
      </c>
      <c r="R26" s="252">
        <v>37304</v>
      </c>
      <c r="S26" s="251">
        <f t="shared" si="10"/>
        <v>10</v>
      </c>
      <c r="T26" s="251">
        <f t="shared" si="5"/>
        <v>35613</v>
      </c>
      <c r="U26" s="252">
        <v>35632</v>
      </c>
      <c r="V26" s="251">
        <f t="shared" si="8"/>
        <v>19</v>
      </c>
      <c r="W26" s="253">
        <f t="shared" si="6"/>
        <v>23989</v>
      </c>
      <c r="X26" s="252">
        <v>23989</v>
      </c>
      <c r="Y26" s="251">
        <f t="shared" si="9"/>
        <v>0</v>
      </c>
      <c r="Z26" s="254">
        <f t="shared" ref="Z26:Z37" si="16">Y26+V26+S26+P26+M26</f>
        <v>39</v>
      </c>
      <c r="AA26" s="6">
        <v>370</v>
      </c>
      <c r="AB26" s="6">
        <v>145</v>
      </c>
      <c r="AC26" s="547">
        <f>Gen!T31</f>
        <v>1850.97</v>
      </c>
    </row>
    <row r="27" spans="1:29" ht="20.100000000000001" customHeight="1" x14ac:dyDescent="0.2">
      <c r="A27" s="672">
        <f>Gen!B32</f>
        <v>44552</v>
      </c>
      <c r="B27" s="727">
        <f>Gen!C32</f>
        <v>0.17</v>
      </c>
      <c r="C27" s="725">
        <v>24800.7</v>
      </c>
      <c r="D27" s="252">
        <v>18231.849999999999</v>
      </c>
      <c r="E27" s="725"/>
      <c r="F27" s="762"/>
      <c r="G27" s="252">
        <v>289.43</v>
      </c>
      <c r="H27" s="725"/>
      <c r="I27" s="725">
        <v>33553.300000000003</v>
      </c>
      <c r="J27" s="725">
        <v>22305.8</v>
      </c>
      <c r="K27" s="674">
        <f t="shared" si="0"/>
        <v>38566</v>
      </c>
      <c r="L27" s="252">
        <v>38566</v>
      </c>
      <c r="M27" s="251">
        <f t="shared" si="1"/>
        <v>0</v>
      </c>
      <c r="N27" s="253">
        <f t="shared" si="2"/>
        <v>32025</v>
      </c>
      <c r="O27" s="6">
        <v>32025</v>
      </c>
      <c r="P27" s="251">
        <f t="shared" si="3"/>
        <v>0</v>
      </c>
      <c r="Q27" s="251">
        <f t="shared" si="4"/>
        <v>37304</v>
      </c>
      <c r="R27" s="252">
        <v>37316</v>
      </c>
      <c r="S27" s="251">
        <f t="shared" si="10"/>
        <v>12</v>
      </c>
      <c r="T27" s="251">
        <f t="shared" si="5"/>
        <v>35632</v>
      </c>
      <c r="U27" s="252">
        <v>35641</v>
      </c>
      <c r="V27" s="251">
        <f t="shared" si="8"/>
        <v>9</v>
      </c>
      <c r="W27" s="253">
        <f t="shared" si="6"/>
        <v>23989</v>
      </c>
      <c r="X27" s="252">
        <v>24003</v>
      </c>
      <c r="Y27" s="251">
        <f t="shared" si="9"/>
        <v>14</v>
      </c>
      <c r="Z27" s="254">
        <f t="shared" si="16"/>
        <v>35</v>
      </c>
      <c r="AA27" s="6">
        <v>365</v>
      </c>
      <c r="AB27" s="6">
        <v>170</v>
      </c>
      <c r="AC27" s="547">
        <f>Gen!T32</f>
        <v>1693.83</v>
      </c>
    </row>
    <row r="28" spans="1:29" ht="20.100000000000001" customHeight="1" x14ac:dyDescent="0.2">
      <c r="A28" s="672">
        <f>Gen!B33</f>
        <v>44553</v>
      </c>
      <c r="B28" s="722">
        <f>Gen!C33</f>
        <v>0.17</v>
      </c>
      <c r="C28" s="645">
        <v>24800.7</v>
      </c>
      <c r="D28" s="252">
        <v>16248.59</v>
      </c>
      <c r="E28" s="252"/>
      <c r="F28" s="762"/>
      <c r="G28" s="252">
        <v>122.64</v>
      </c>
      <c r="H28" s="252"/>
      <c r="I28" s="252">
        <v>33560.400000000001</v>
      </c>
      <c r="J28" s="252">
        <v>22310.1</v>
      </c>
      <c r="K28" s="674">
        <f t="shared" si="0"/>
        <v>38566</v>
      </c>
      <c r="L28" s="252">
        <v>38581</v>
      </c>
      <c r="M28" s="251">
        <f t="shared" si="1"/>
        <v>15</v>
      </c>
      <c r="N28" s="253">
        <f t="shared" si="2"/>
        <v>32025</v>
      </c>
      <c r="O28" s="252">
        <v>32025</v>
      </c>
      <c r="P28" s="251">
        <f t="shared" si="3"/>
        <v>0</v>
      </c>
      <c r="Q28" s="251">
        <f t="shared" si="4"/>
        <v>37316</v>
      </c>
      <c r="R28" s="252">
        <v>37327</v>
      </c>
      <c r="S28" s="251">
        <f t="shared" si="10"/>
        <v>11</v>
      </c>
      <c r="T28" s="251">
        <f t="shared" si="5"/>
        <v>35641</v>
      </c>
      <c r="U28" s="252">
        <v>35653</v>
      </c>
      <c r="V28" s="251">
        <f t="shared" si="8"/>
        <v>12</v>
      </c>
      <c r="W28" s="253">
        <f t="shared" si="6"/>
        <v>24003</v>
      </c>
      <c r="X28" s="252">
        <v>24003</v>
      </c>
      <c r="Y28" s="251">
        <f t="shared" si="9"/>
        <v>0</v>
      </c>
      <c r="Z28" s="254">
        <f t="shared" si="16"/>
        <v>38</v>
      </c>
      <c r="AA28" s="6">
        <v>381</v>
      </c>
      <c r="AB28" s="6">
        <v>169</v>
      </c>
      <c r="AC28" s="547">
        <f>Gen!T33</f>
        <v>1680.85</v>
      </c>
    </row>
    <row r="29" spans="1:29" ht="20.100000000000001" customHeight="1" x14ac:dyDescent="0.2">
      <c r="A29" s="541">
        <f>Gen!B34</f>
        <v>44554</v>
      </c>
      <c r="B29" s="722">
        <f>Gen!C34</f>
        <v>0.47</v>
      </c>
      <c r="C29" s="645">
        <v>24800.7</v>
      </c>
      <c r="D29" s="252">
        <v>14445.1</v>
      </c>
      <c r="E29" s="252"/>
      <c r="F29" s="762"/>
      <c r="G29" s="252"/>
      <c r="H29" s="252"/>
      <c r="I29" s="252">
        <v>33564.1</v>
      </c>
      <c r="J29" s="538">
        <v>22314.9</v>
      </c>
      <c r="K29" s="546">
        <f t="shared" si="0"/>
        <v>38581</v>
      </c>
      <c r="L29" s="252">
        <v>38594</v>
      </c>
      <c r="M29" s="251">
        <f t="shared" si="1"/>
        <v>13</v>
      </c>
      <c r="N29" s="253">
        <f t="shared" si="2"/>
        <v>32025</v>
      </c>
      <c r="O29" s="252">
        <v>32025</v>
      </c>
      <c r="P29" s="251">
        <f t="shared" si="3"/>
        <v>0</v>
      </c>
      <c r="Q29" s="251">
        <f t="shared" si="4"/>
        <v>37327</v>
      </c>
      <c r="R29" s="252">
        <v>37327</v>
      </c>
      <c r="S29" s="251">
        <f t="shared" si="10"/>
        <v>0</v>
      </c>
      <c r="T29" s="251">
        <f t="shared" si="5"/>
        <v>35653</v>
      </c>
      <c r="U29" s="252">
        <v>35664</v>
      </c>
      <c r="V29" s="251">
        <f>U29-T29</f>
        <v>11</v>
      </c>
      <c r="W29" s="253">
        <f t="shared" si="6"/>
        <v>24003</v>
      </c>
      <c r="X29" s="252">
        <v>24017</v>
      </c>
      <c r="Y29" s="251">
        <f t="shared" si="9"/>
        <v>14</v>
      </c>
      <c r="Z29" s="254">
        <f t="shared" si="16"/>
        <v>38</v>
      </c>
      <c r="AA29" s="6">
        <v>412</v>
      </c>
      <c r="AB29" s="6">
        <v>175</v>
      </c>
      <c r="AC29" s="547">
        <f>Gen!T34</f>
        <v>2112.66</v>
      </c>
    </row>
    <row r="30" spans="1:29" ht="20.100000000000001" customHeight="1" x14ac:dyDescent="0.2">
      <c r="A30" s="541">
        <f>Gen!B35</f>
        <v>44555</v>
      </c>
      <c r="B30" s="722">
        <f>Gen!C35</f>
        <v>0.57999999999999996</v>
      </c>
      <c r="C30" s="645">
        <v>24800.7</v>
      </c>
      <c r="D30" s="252">
        <v>12326.44</v>
      </c>
      <c r="E30" s="252"/>
      <c r="F30" s="762"/>
      <c r="G30" s="252">
        <v>35.200000000000003</v>
      </c>
      <c r="H30" s="252"/>
      <c r="I30" s="252">
        <v>33575.599999999999</v>
      </c>
      <c r="J30" s="538">
        <v>22320.799999999999</v>
      </c>
      <c r="K30" s="546">
        <f t="shared" si="0"/>
        <v>38594</v>
      </c>
      <c r="L30" s="252">
        <v>38610</v>
      </c>
      <c r="M30" s="251">
        <f t="shared" si="1"/>
        <v>16</v>
      </c>
      <c r="N30" s="253">
        <f t="shared" si="2"/>
        <v>32025</v>
      </c>
      <c r="O30" s="252">
        <v>32025</v>
      </c>
      <c r="P30" s="251">
        <f t="shared" si="3"/>
        <v>0</v>
      </c>
      <c r="Q30" s="251">
        <f t="shared" si="4"/>
        <v>37327</v>
      </c>
      <c r="R30" s="252">
        <v>37340</v>
      </c>
      <c r="S30" s="251">
        <f t="shared" si="10"/>
        <v>13</v>
      </c>
      <c r="T30" s="251">
        <f t="shared" si="5"/>
        <v>35664</v>
      </c>
      <c r="U30" s="252">
        <v>35676</v>
      </c>
      <c r="V30" s="251">
        <f t="shared" si="8"/>
        <v>12</v>
      </c>
      <c r="W30" s="253">
        <f t="shared" si="6"/>
        <v>24017</v>
      </c>
      <c r="X30" s="252">
        <v>24017</v>
      </c>
      <c r="Y30" s="251">
        <f t="shared" si="9"/>
        <v>0</v>
      </c>
      <c r="Z30" s="254">
        <f t="shared" si="16"/>
        <v>41</v>
      </c>
      <c r="AA30" s="6">
        <v>420</v>
      </c>
      <c r="AB30" s="6">
        <v>160</v>
      </c>
      <c r="AC30" s="547">
        <f>Gen!T35</f>
        <v>2005.49</v>
      </c>
    </row>
    <row r="31" spans="1:29" ht="20.100000000000001" customHeight="1" x14ac:dyDescent="0.2">
      <c r="A31" s="541">
        <f>Gen!B36</f>
        <v>44556</v>
      </c>
      <c r="B31" s="722">
        <f>Gen!C36</f>
        <v>0.43</v>
      </c>
      <c r="C31" s="645">
        <v>24800.7</v>
      </c>
      <c r="D31" s="252">
        <v>10285.75</v>
      </c>
      <c r="E31" s="252"/>
      <c r="F31" s="762"/>
      <c r="G31" s="252">
        <v>280.98</v>
      </c>
      <c r="H31" s="252"/>
      <c r="I31" s="252">
        <v>33584.699999999997</v>
      </c>
      <c r="J31" s="538">
        <v>22326.6</v>
      </c>
      <c r="K31" s="546">
        <f t="shared" si="0"/>
        <v>38610</v>
      </c>
      <c r="L31" s="252">
        <v>38610</v>
      </c>
      <c r="M31" s="251">
        <f t="shared" si="1"/>
        <v>0</v>
      </c>
      <c r="N31" s="253">
        <f t="shared" si="2"/>
        <v>32025</v>
      </c>
      <c r="O31" s="252">
        <v>32025</v>
      </c>
      <c r="P31" s="251">
        <f t="shared" si="3"/>
        <v>0</v>
      </c>
      <c r="Q31" s="251">
        <f t="shared" si="4"/>
        <v>37340</v>
      </c>
      <c r="R31" s="252">
        <v>37357</v>
      </c>
      <c r="S31" s="251">
        <f t="shared" si="10"/>
        <v>17</v>
      </c>
      <c r="T31" s="251">
        <f t="shared" si="5"/>
        <v>35676</v>
      </c>
      <c r="U31" s="252">
        <v>35685</v>
      </c>
      <c r="V31" s="251">
        <f t="shared" si="8"/>
        <v>9</v>
      </c>
      <c r="W31" s="253">
        <f t="shared" si="6"/>
        <v>24017</v>
      </c>
      <c r="X31" s="252">
        <v>24033</v>
      </c>
      <c r="Y31" s="251">
        <f t="shared" si="9"/>
        <v>16</v>
      </c>
      <c r="Z31" s="254">
        <f t="shared" si="16"/>
        <v>42</v>
      </c>
      <c r="AA31" s="6">
        <v>460</v>
      </c>
      <c r="AB31" s="6">
        <v>170</v>
      </c>
      <c r="AC31" s="547">
        <f>Gen!T36</f>
        <v>2169.16</v>
      </c>
    </row>
    <row r="32" spans="1:29" ht="20.100000000000001" customHeight="1" x14ac:dyDescent="0.2">
      <c r="A32" s="541">
        <f>Gen!B37</f>
        <v>44557</v>
      </c>
      <c r="B32" s="722">
        <f>Gen!C37</f>
        <v>0.39</v>
      </c>
      <c r="C32" s="645">
        <v>24800.7</v>
      </c>
      <c r="D32" s="252">
        <v>7835.61</v>
      </c>
      <c r="E32" s="252"/>
      <c r="F32" s="762"/>
      <c r="G32" s="252">
        <v>49.66</v>
      </c>
      <c r="H32" s="252"/>
      <c r="I32" s="252">
        <v>33593.699999999997</v>
      </c>
      <c r="J32" s="538">
        <v>22332.3</v>
      </c>
      <c r="K32" s="546">
        <f t="shared" si="0"/>
        <v>38610</v>
      </c>
      <c r="L32" s="252">
        <v>38625</v>
      </c>
      <c r="M32" s="251">
        <f t="shared" si="1"/>
        <v>15</v>
      </c>
      <c r="N32" s="253">
        <f t="shared" si="2"/>
        <v>32025</v>
      </c>
      <c r="O32" s="252">
        <v>32025</v>
      </c>
      <c r="P32" s="251">
        <f t="shared" si="3"/>
        <v>0</v>
      </c>
      <c r="Q32" s="251">
        <f t="shared" si="4"/>
        <v>37357</v>
      </c>
      <c r="R32" s="252">
        <v>37372</v>
      </c>
      <c r="S32" s="251">
        <f t="shared" si="10"/>
        <v>15</v>
      </c>
      <c r="T32" s="251">
        <f t="shared" si="5"/>
        <v>35685</v>
      </c>
      <c r="U32" s="252">
        <v>35695</v>
      </c>
      <c r="V32" s="251">
        <f t="shared" si="8"/>
        <v>10</v>
      </c>
      <c r="W32" s="253">
        <f t="shared" si="6"/>
        <v>24033</v>
      </c>
      <c r="X32" s="252">
        <v>24033</v>
      </c>
      <c r="Y32" s="251">
        <f t="shared" si="9"/>
        <v>0</v>
      </c>
      <c r="Z32" s="254">
        <f t="shared" si="16"/>
        <v>40</v>
      </c>
      <c r="AA32" s="6">
        <v>450</v>
      </c>
      <c r="AB32" s="6">
        <v>165</v>
      </c>
      <c r="AC32" s="547">
        <f>Gen!T37</f>
        <v>2028.79</v>
      </c>
    </row>
    <row r="33" spans="1:29" ht="20.100000000000001" customHeight="1" x14ac:dyDescent="0.2">
      <c r="A33" s="541">
        <f>Gen!B38</f>
        <v>44558</v>
      </c>
      <c r="B33" s="722">
        <f>Gen!C38</f>
        <v>0.43</v>
      </c>
      <c r="C33" s="645">
        <v>24800.7</v>
      </c>
      <c r="D33" s="252">
        <v>5757.16</v>
      </c>
      <c r="E33" s="252"/>
      <c r="F33" s="762"/>
      <c r="G33" s="252">
        <v>186.49</v>
      </c>
      <c r="H33" s="252"/>
      <c r="I33" s="252">
        <v>33602.199999999997</v>
      </c>
      <c r="J33" s="538">
        <v>22337.9</v>
      </c>
      <c r="K33" s="546">
        <f t="shared" si="0"/>
        <v>38625</v>
      </c>
      <c r="L33" s="252">
        <v>38625</v>
      </c>
      <c r="M33" s="251">
        <f t="shared" si="1"/>
        <v>0</v>
      </c>
      <c r="N33" s="253">
        <f t="shared" si="2"/>
        <v>32025</v>
      </c>
      <c r="O33" s="252">
        <v>32025</v>
      </c>
      <c r="P33" s="251">
        <f t="shared" si="3"/>
        <v>0</v>
      </c>
      <c r="Q33" s="251">
        <f t="shared" si="4"/>
        <v>37372</v>
      </c>
      <c r="R33" s="252">
        <v>37386</v>
      </c>
      <c r="S33" s="251">
        <f t="shared" si="10"/>
        <v>14</v>
      </c>
      <c r="T33" s="251">
        <f t="shared" si="5"/>
        <v>35695</v>
      </c>
      <c r="U33" s="252">
        <v>35704</v>
      </c>
      <c r="V33" s="251">
        <f t="shared" si="8"/>
        <v>9</v>
      </c>
      <c r="W33" s="253">
        <f t="shared" si="6"/>
        <v>24033</v>
      </c>
      <c r="X33" s="252">
        <v>24049</v>
      </c>
      <c r="Y33" s="251">
        <f t="shared" si="9"/>
        <v>16</v>
      </c>
      <c r="Z33" s="254">
        <f t="shared" si="16"/>
        <v>39</v>
      </c>
      <c r="AA33" s="6">
        <v>460</v>
      </c>
      <c r="AB33" s="6">
        <v>170</v>
      </c>
      <c r="AC33" s="547">
        <f>Gen!T38</f>
        <v>2053.59</v>
      </c>
    </row>
    <row r="34" spans="1:29" ht="20.100000000000001" customHeight="1" x14ac:dyDescent="0.2">
      <c r="A34" s="541">
        <f>Gen!B39</f>
        <v>44559</v>
      </c>
      <c r="B34" s="722">
        <f>Gen!C39</f>
        <v>0.53</v>
      </c>
      <c r="C34" s="645">
        <v>24800.7</v>
      </c>
      <c r="D34" s="252">
        <v>3517.08</v>
      </c>
      <c r="E34" s="252"/>
      <c r="F34" s="762"/>
      <c r="G34" s="252">
        <v>236.12</v>
      </c>
      <c r="H34" s="252"/>
      <c r="I34" s="252">
        <v>33610.1</v>
      </c>
      <c r="J34" s="538">
        <v>22343.7</v>
      </c>
      <c r="K34" s="546">
        <f t="shared" si="0"/>
        <v>38625</v>
      </c>
      <c r="L34" s="252">
        <v>38642</v>
      </c>
      <c r="M34" s="251">
        <f t="shared" si="1"/>
        <v>17</v>
      </c>
      <c r="N34" s="253">
        <f t="shared" si="2"/>
        <v>32025</v>
      </c>
      <c r="O34" s="252">
        <v>32025</v>
      </c>
      <c r="P34" s="251">
        <f t="shared" si="3"/>
        <v>0</v>
      </c>
      <c r="Q34" s="251">
        <f>R34</f>
        <v>37386</v>
      </c>
      <c r="R34" s="252">
        <v>37386</v>
      </c>
      <c r="S34" s="251">
        <f t="shared" si="10"/>
        <v>0</v>
      </c>
      <c r="T34" s="251">
        <f t="shared" si="5"/>
        <v>35704</v>
      </c>
      <c r="U34" s="252">
        <v>35713</v>
      </c>
      <c r="V34" s="251">
        <f t="shared" si="8"/>
        <v>9</v>
      </c>
      <c r="W34" s="253">
        <f t="shared" si="6"/>
        <v>24049</v>
      </c>
      <c r="X34" s="252">
        <v>24063</v>
      </c>
      <c r="Y34" s="251">
        <f t="shared" si="9"/>
        <v>14</v>
      </c>
      <c r="Z34" s="254">
        <f t="shared" si="16"/>
        <v>40</v>
      </c>
      <c r="AA34" s="6">
        <v>465</v>
      </c>
      <c r="AB34" s="6">
        <v>165</v>
      </c>
      <c r="AC34" s="547">
        <f>Gen!T39</f>
        <v>2039.95</v>
      </c>
    </row>
    <row r="35" spans="1:29" ht="20.100000000000001" customHeight="1" x14ac:dyDescent="0.2">
      <c r="A35" s="541">
        <f>Gen!B40</f>
        <v>44560</v>
      </c>
      <c r="B35" s="722">
        <f>Gen!C40</f>
        <v>0.61</v>
      </c>
      <c r="C35" s="645">
        <v>24800.7</v>
      </c>
      <c r="D35" s="252">
        <v>19241.009999999998</v>
      </c>
      <c r="E35" s="252"/>
      <c r="F35" s="762"/>
      <c r="G35" s="252">
        <v>34.26</v>
      </c>
      <c r="H35" s="252"/>
      <c r="I35" s="252">
        <v>33618.199999999997</v>
      </c>
      <c r="J35" s="538">
        <v>22349.3</v>
      </c>
      <c r="K35" s="546">
        <f t="shared" si="0"/>
        <v>38642</v>
      </c>
      <c r="L35" s="252">
        <v>38658</v>
      </c>
      <c r="M35" s="251">
        <f t="shared" si="1"/>
        <v>16</v>
      </c>
      <c r="N35" s="253">
        <f t="shared" si="2"/>
        <v>32025</v>
      </c>
      <c r="O35" s="252">
        <v>32025</v>
      </c>
      <c r="P35" s="251">
        <f t="shared" si="3"/>
        <v>0</v>
      </c>
      <c r="Q35" s="251">
        <f>R35</f>
        <v>37402</v>
      </c>
      <c r="R35" s="252">
        <v>37402</v>
      </c>
      <c r="S35" s="251">
        <f t="shared" si="10"/>
        <v>0</v>
      </c>
      <c r="T35" s="251">
        <f t="shared" si="5"/>
        <v>35713</v>
      </c>
      <c r="U35" s="252">
        <v>35722</v>
      </c>
      <c r="V35" s="251">
        <f t="shared" si="8"/>
        <v>9</v>
      </c>
      <c r="W35" s="253">
        <f t="shared" si="6"/>
        <v>24063</v>
      </c>
      <c r="X35" s="252">
        <v>24063</v>
      </c>
      <c r="Y35" s="251">
        <f t="shared" si="9"/>
        <v>0</v>
      </c>
      <c r="Z35" s="254">
        <f t="shared" si="16"/>
        <v>25</v>
      </c>
      <c r="AA35" s="6">
        <v>471</v>
      </c>
      <c r="AB35" s="6">
        <v>180</v>
      </c>
      <c r="AC35" s="547">
        <f>Gen!T40</f>
        <v>2039.77</v>
      </c>
    </row>
    <row r="36" spans="1:29" ht="20.100000000000001" customHeight="1" x14ac:dyDescent="0.2">
      <c r="A36" s="542">
        <f>Gen!B41</f>
        <v>44561</v>
      </c>
      <c r="B36" s="722">
        <f>Gen!C41</f>
        <v>0.61</v>
      </c>
      <c r="C36" s="645">
        <v>24800.7</v>
      </c>
      <c r="D36" s="252">
        <v>17166.98</v>
      </c>
      <c r="E36" s="252"/>
      <c r="F36" s="762">
        <f>Gen!E40</f>
        <v>0</v>
      </c>
      <c r="G36" s="252">
        <v>882.87</v>
      </c>
      <c r="H36" s="252"/>
      <c r="I36" s="252">
        <v>33626.400000000001</v>
      </c>
      <c r="J36" s="538">
        <v>22355.1</v>
      </c>
      <c r="K36" s="546">
        <f t="shared" si="0"/>
        <v>38658</v>
      </c>
      <c r="L36" s="252">
        <v>38661</v>
      </c>
      <c r="M36" s="251">
        <f t="shared" si="1"/>
        <v>3</v>
      </c>
      <c r="N36" s="253">
        <f t="shared" si="2"/>
        <v>32025</v>
      </c>
      <c r="O36" s="252">
        <v>32025</v>
      </c>
      <c r="P36" s="251">
        <f t="shared" si="3"/>
        <v>0</v>
      </c>
      <c r="Q36" s="251">
        <f t="shared" si="4"/>
        <v>37402</v>
      </c>
      <c r="R36" s="252">
        <v>37416</v>
      </c>
      <c r="S36" s="251">
        <f t="shared" si="10"/>
        <v>14</v>
      </c>
      <c r="T36" s="251">
        <f t="shared" si="5"/>
        <v>35722</v>
      </c>
      <c r="U36" s="252">
        <v>35733</v>
      </c>
      <c r="V36" s="251">
        <f t="shared" si="8"/>
        <v>11</v>
      </c>
      <c r="W36" s="253">
        <f t="shared" si="6"/>
        <v>24063</v>
      </c>
      <c r="X36" s="252">
        <v>24077</v>
      </c>
      <c r="Y36" s="251">
        <f t="shared" si="9"/>
        <v>14</v>
      </c>
      <c r="Z36" s="254">
        <f t="shared" si="16"/>
        <v>42</v>
      </c>
      <c r="AA36" s="6">
        <v>471</v>
      </c>
      <c r="AB36" s="6">
        <v>185</v>
      </c>
      <c r="AC36" s="547"/>
    </row>
    <row r="37" spans="1:29" ht="21" customHeight="1" x14ac:dyDescent="0.2">
      <c r="A37" s="542">
        <f>Gen!B42</f>
        <v>0</v>
      </c>
      <c r="B37" s="537">
        <f>Gen!C42</f>
        <v>0</v>
      </c>
      <c r="C37" s="645">
        <v>24800.7</v>
      </c>
      <c r="D37" s="539">
        <v>14399.93</v>
      </c>
      <c r="E37" s="539"/>
      <c r="F37" s="539"/>
      <c r="G37" s="539"/>
      <c r="H37" s="539"/>
      <c r="I37" s="539">
        <v>33634.199999999997</v>
      </c>
      <c r="J37" s="540">
        <v>22360.799999999999</v>
      </c>
      <c r="K37" s="548">
        <f t="shared" si="0"/>
        <v>38661</v>
      </c>
      <c r="L37" s="539"/>
      <c r="M37" s="549">
        <f t="shared" si="1"/>
        <v>-38661</v>
      </c>
      <c r="N37" s="550">
        <f t="shared" si="2"/>
        <v>32025</v>
      </c>
      <c r="O37" s="539"/>
      <c r="P37" s="549">
        <f t="shared" si="3"/>
        <v>-32025</v>
      </c>
      <c r="Q37" s="549">
        <f t="shared" si="4"/>
        <v>37416</v>
      </c>
      <c r="R37" s="252"/>
      <c r="S37" s="549"/>
      <c r="T37" s="549">
        <f t="shared" si="5"/>
        <v>35733</v>
      </c>
      <c r="U37" s="539"/>
      <c r="V37" s="549">
        <f t="shared" si="8"/>
        <v>-35733</v>
      </c>
      <c r="W37" s="550">
        <f t="shared" si="6"/>
        <v>24077</v>
      </c>
      <c r="X37" s="252"/>
      <c r="Y37" s="549">
        <f t="shared" si="9"/>
        <v>-24077</v>
      </c>
      <c r="Z37" s="551">
        <f t="shared" si="16"/>
        <v>-130496</v>
      </c>
      <c r="AA37" s="7"/>
      <c r="AB37" s="7"/>
      <c r="AC37" s="547"/>
    </row>
    <row r="38" spans="1:29" x14ac:dyDescent="0.2">
      <c r="A38" s="218"/>
      <c r="B38" s="218"/>
      <c r="C38" s="218"/>
      <c r="D38" s="218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"/>
  <sheetViews>
    <sheetView workbookViewId="0">
      <selection activeCell="H23" sqref="H23"/>
    </sheetView>
  </sheetViews>
  <sheetFormatPr defaultRowHeight="12.75" x14ac:dyDescent="0.2"/>
  <cols>
    <col min="1" max="1" width="9.7109375" bestFit="1" customWidth="1"/>
    <col min="2" max="2" width="9.28515625" style="11" bestFit="1" customWidth="1"/>
  </cols>
  <sheetData>
    <row r="1" spans="1:3" s="15" customFormat="1" x14ac:dyDescent="0.2">
      <c r="A1" s="13" t="s">
        <v>31</v>
      </c>
      <c r="B1" s="13" t="s">
        <v>314</v>
      </c>
      <c r="C1" s="13" t="s">
        <v>33</v>
      </c>
    </row>
    <row r="2" spans="1:3" x14ac:dyDescent="0.2">
      <c r="A2" s="76">
        <f>Gen!B11</f>
        <v>44531</v>
      </c>
      <c r="B2" s="12" t="e">
        <v>#REF!</v>
      </c>
      <c r="C2" s="75">
        <f>Gen!C11</f>
        <v>5.1900000000000002E-2</v>
      </c>
    </row>
    <row r="3" spans="1:3" x14ac:dyDescent="0.2">
      <c r="A3" s="76">
        <f>Gen!B12</f>
        <v>44532</v>
      </c>
      <c r="B3" s="12" t="e">
        <v>#REF!</v>
      </c>
      <c r="C3" s="75">
        <f>Gen!C12</f>
        <v>0.05</v>
      </c>
    </row>
    <row r="4" spans="1:3" x14ac:dyDescent="0.2">
      <c r="A4" s="76">
        <f>Gen!B13</f>
        <v>44533</v>
      </c>
      <c r="B4" s="12" t="e">
        <v>#REF!</v>
      </c>
      <c r="C4" s="75">
        <f>Gen!C13</f>
        <v>0.05</v>
      </c>
    </row>
    <row r="5" spans="1:3" x14ac:dyDescent="0.2">
      <c r="A5" s="76">
        <f>Gen!B14</f>
        <v>44534</v>
      </c>
      <c r="B5" s="12" t="e">
        <v>#REF!</v>
      </c>
      <c r="C5" s="75">
        <f>Gen!C14</f>
        <v>0.08</v>
      </c>
    </row>
    <row r="6" spans="1:3" x14ac:dyDescent="0.2">
      <c r="A6" s="76">
        <f>Gen!B15</f>
        <v>44535</v>
      </c>
      <c r="B6" s="12" t="e">
        <v>#REF!</v>
      </c>
      <c r="C6" s="75">
        <f>Gen!C15</f>
        <v>0.05</v>
      </c>
    </row>
    <row r="7" spans="1:3" x14ac:dyDescent="0.2">
      <c r="A7" s="76">
        <f>Gen!B16</f>
        <v>44536</v>
      </c>
      <c r="B7" s="12" t="e">
        <v>#REF!</v>
      </c>
      <c r="C7" s="75">
        <f>Gen!C16</f>
        <v>7.7899999999999997E-2</v>
      </c>
    </row>
    <row r="8" spans="1:3" x14ac:dyDescent="0.2">
      <c r="A8" s="76">
        <f>Gen!B17</f>
        <v>44537</v>
      </c>
      <c r="B8" s="12" t="e">
        <v>#REF!</v>
      </c>
      <c r="C8" s="75">
        <f>Gen!C17</f>
        <v>7.7899999999999997E-2</v>
      </c>
    </row>
    <row r="9" spans="1:3" x14ac:dyDescent="0.2">
      <c r="A9" s="76">
        <f>Gen!B18</f>
        <v>44538</v>
      </c>
      <c r="B9" s="12" t="e">
        <v>#REF!</v>
      </c>
      <c r="C9" s="75">
        <f>Gen!C18</f>
        <v>0.12</v>
      </c>
    </row>
    <row r="10" spans="1:3" x14ac:dyDescent="0.2">
      <c r="A10" s="76">
        <f>Gen!B19</f>
        <v>44539</v>
      </c>
      <c r="B10" s="12" t="e">
        <v>#REF!</v>
      </c>
      <c r="C10" s="75">
        <f>Gen!C19</f>
        <v>0.09</v>
      </c>
    </row>
    <row r="11" spans="1:3" x14ac:dyDescent="0.2">
      <c r="A11" s="76">
        <f>Gen!B20</f>
        <v>44540</v>
      </c>
      <c r="B11" s="12" t="e">
        <v>#REF!</v>
      </c>
      <c r="C11" s="75">
        <f>Gen!C20</f>
        <v>0.12</v>
      </c>
    </row>
    <row r="12" spans="1:3" x14ac:dyDescent="0.2">
      <c r="A12" s="76">
        <f>Gen!B21</f>
        <v>44541</v>
      </c>
      <c r="B12" s="12" t="e">
        <v>#REF!</v>
      </c>
      <c r="C12" s="75">
        <f>Gen!C21</f>
        <v>0.12</v>
      </c>
    </row>
    <row r="13" spans="1:3" x14ac:dyDescent="0.2">
      <c r="A13" s="76">
        <f>Gen!B22</f>
        <v>44542</v>
      </c>
      <c r="B13" s="12" t="e">
        <v>#REF!</v>
      </c>
      <c r="C13" s="75">
        <f>Gen!C22</f>
        <v>0.12</v>
      </c>
    </row>
    <row r="14" spans="1:3" x14ac:dyDescent="0.2">
      <c r="A14" s="76">
        <f>Gen!B23</f>
        <v>44543</v>
      </c>
      <c r="B14" s="12" t="e">
        <v>#REF!</v>
      </c>
      <c r="C14" s="75">
        <f>Gen!C23</f>
        <v>0.16</v>
      </c>
    </row>
    <row r="15" spans="1:3" x14ac:dyDescent="0.2">
      <c r="A15" s="76">
        <f>Gen!B24</f>
        <v>44544</v>
      </c>
      <c r="B15" s="12" t="e">
        <v>#REF!</v>
      </c>
      <c r="C15" s="75">
        <f>Gen!C24</f>
        <v>0.17</v>
      </c>
    </row>
    <row r="16" spans="1:3" x14ac:dyDescent="0.2">
      <c r="A16" s="76">
        <f>Gen!B25</f>
        <v>44545</v>
      </c>
      <c r="B16" s="12" t="e">
        <v>#REF!</v>
      </c>
      <c r="C16" s="75">
        <f>Gen!C25</f>
        <v>0.18</v>
      </c>
    </row>
    <row r="17" spans="1:3" x14ac:dyDescent="0.2">
      <c r="A17" s="76">
        <f>Gen!B26</f>
        <v>44546</v>
      </c>
      <c r="B17" s="12" t="e">
        <v>#REF!</v>
      </c>
      <c r="C17" s="75">
        <f>Gen!C26</f>
        <v>0.16</v>
      </c>
    </row>
    <row r="18" spans="1:3" x14ac:dyDescent="0.2">
      <c r="A18" s="76">
        <f>Gen!B27</f>
        <v>44547</v>
      </c>
      <c r="B18" s="12" t="e">
        <v>#REF!</v>
      </c>
      <c r="C18" s="75">
        <f>Gen!C27</f>
        <v>0.16</v>
      </c>
    </row>
    <row r="19" spans="1:3" x14ac:dyDescent="0.2">
      <c r="A19" s="76">
        <f>Gen!B28</f>
        <v>44548</v>
      </c>
      <c r="B19" s="12" t="e">
        <v>#REF!</v>
      </c>
      <c r="C19" s="75">
        <f>Gen!C28</f>
        <v>0.13</v>
      </c>
    </row>
    <row r="20" spans="1:3" x14ac:dyDescent="0.2">
      <c r="A20" s="76">
        <f>Gen!B29</f>
        <v>44549</v>
      </c>
      <c r="B20" s="12" t="e">
        <v>#REF!</v>
      </c>
      <c r="C20" s="75">
        <f>Gen!C29</f>
        <v>0.12</v>
      </c>
    </row>
    <row r="21" spans="1:3" x14ac:dyDescent="0.2">
      <c r="A21" s="76">
        <f>Gen!B30</f>
        <v>44550</v>
      </c>
      <c r="B21" s="12" t="e">
        <v>#REF!</v>
      </c>
      <c r="C21" s="75">
        <f>Gen!C30</f>
        <v>0.06</v>
      </c>
    </row>
    <row r="22" spans="1:3" x14ac:dyDescent="0.2">
      <c r="A22" s="76">
        <f>Gen!B31</f>
        <v>44551</v>
      </c>
      <c r="B22" s="12" t="e">
        <v>#REF!</v>
      </c>
      <c r="C22" s="75">
        <f>Gen!C31</f>
        <v>0.1</v>
      </c>
    </row>
    <row r="23" spans="1:3" x14ac:dyDescent="0.2">
      <c r="A23" s="76">
        <f>Gen!B32</f>
        <v>44552</v>
      </c>
      <c r="B23" s="12" t="e">
        <v>#REF!</v>
      </c>
      <c r="C23" s="75">
        <f>Gen!C32</f>
        <v>0.17</v>
      </c>
    </row>
    <row r="24" spans="1:3" x14ac:dyDescent="0.2">
      <c r="A24" s="76">
        <f>Gen!B33</f>
        <v>44553</v>
      </c>
      <c r="B24" s="12" t="e">
        <v>#REF!</v>
      </c>
      <c r="C24" s="75">
        <f>Gen!C33</f>
        <v>0.17</v>
      </c>
    </row>
    <row r="25" spans="1:3" x14ac:dyDescent="0.2">
      <c r="A25" s="76">
        <f>Gen!B34</f>
        <v>44554</v>
      </c>
      <c r="B25" s="12" t="e">
        <v>#REF!</v>
      </c>
      <c r="C25" s="75">
        <f>Gen!C34</f>
        <v>0.47</v>
      </c>
    </row>
    <row r="26" spans="1:3" x14ac:dyDescent="0.2">
      <c r="A26" s="76">
        <f>Gen!B35</f>
        <v>44555</v>
      </c>
      <c r="B26" s="12" t="e">
        <v>#REF!</v>
      </c>
      <c r="C26" s="75">
        <f>Gen!C35</f>
        <v>0.57999999999999996</v>
      </c>
    </row>
    <row r="27" spans="1:3" x14ac:dyDescent="0.2">
      <c r="A27" s="76">
        <f>Gen!B36</f>
        <v>44556</v>
      </c>
      <c r="B27" s="12" t="e">
        <v>#REF!</v>
      </c>
      <c r="C27" s="75">
        <f>Gen!C36</f>
        <v>0.43</v>
      </c>
    </row>
    <row r="28" spans="1:3" x14ac:dyDescent="0.2">
      <c r="A28" s="76">
        <f>Gen!B37</f>
        <v>44557</v>
      </c>
      <c r="B28" s="12" t="e">
        <v>#REF!</v>
      </c>
      <c r="C28" s="75">
        <f>Gen!C37</f>
        <v>0.39</v>
      </c>
    </row>
    <row r="29" spans="1:3" x14ac:dyDescent="0.2">
      <c r="A29" s="76">
        <f>Gen!B38</f>
        <v>44558</v>
      </c>
      <c r="B29" s="12" t="e">
        <v>#REF!</v>
      </c>
      <c r="C29" s="75">
        <f>Gen!C38</f>
        <v>0.43</v>
      </c>
    </row>
    <row r="30" spans="1:3" x14ac:dyDescent="0.2">
      <c r="A30" s="76">
        <f>Gen!B39</f>
        <v>44559</v>
      </c>
      <c r="B30" s="12">
        <v>-212333</v>
      </c>
      <c r="C30" s="75">
        <f>Gen!C39</f>
        <v>0.53</v>
      </c>
    </row>
    <row r="31" spans="1:3" x14ac:dyDescent="0.2">
      <c r="A31" s="76">
        <f>Gen!B40</f>
        <v>44560</v>
      </c>
      <c r="B31" s="12" t="e">
        <v>#REF!</v>
      </c>
      <c r="C31" s="75">
        <f>Gen!C40</f>
        <v>0.61</v>
      </c>
    </row>
    <row r="32" spans="1:3" x14ac:dyDescent="0.2">
      <c r="A32" s="76">
        <f>Gen!B41</f>
        <v>44561</v>
      </c>
      <c r="B32" s="12" t="e">
        <v>#REF!</v>
      </c>
      <c r="C32" s="75">
        <f>Gen!C41</f>
        <v>0.61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40"/>
  <sheetViews>
    <sheetView topLeftCell="A28" workbookViewId="0">
      <selection activeCell="AE23" sqref="AE23"/>
    </sheetView>
  </sheetViews>
  <sheetFormatPr defaultRowHeight="12.75" x14ac:dyDescent="0.2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 x14ac:dyDescent="0.25"/>
    <row r="2" spans="1:27" x14ac:dyDescent="0.2">
      <c r="A2" s="1031" t="s">
        <v>315</v>
      </c>
      <c r="B2" s="1032"/>
      <c r="C2" s="1032"/>
      <c r="D2" s="1032"/>
      <c r="E2" s="1033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73">
        <v>2209.85</v>
      </c>
      <c r="R2" s="350" t="s">
        <v>316</v>
      </c>
      <c r="S2" s="350" t="s">
        <v>317</v>
      </c>
      <c r="T2" s="73">
        <v>1584</v>
      </c>
      <c r="U2" s="50"/>
      <c r="V2" s="54"/>
      <c r="W2" s="49"/>
    </row>
    <row r="3" spans="1:27" ht="38.25" customHeight="1" x14ac:dyDescent="0.2">
      <c r="A3" s="51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02" t="s">
        <v>318</v>
      </c>
      <c r="N3" s="102"/>
      <c r="O3" s="102"/>
      <c r="P3" s="102" t="s">
        <v>319</v>
      </c>
      <c r="Q3" s="103" t="s">
        <v>320</v>
      </c>
      <c r="R3" s="103"/>
      <c r="S3" s="103"/>
      <c r="T3" s="351"/>
      <c r="U3" s="352"/>
      <c r="V3" s="56" t="s">
        <v>321</v>
      </c>
      <c r="W3" s="102" t="s">
        <v>322</v>
      </c>
      <c r="AA3" s="121" t="s">
        <v>323</v>
      </c>
    </row>
    <row r="4" spans="1:27" s="40" customFormat="1" ht="50.25" customHeight="1" x14ac:dyDescent="0.2">
      <c r="A4" s="52" t="s">
        <v>31</v>
      </c>
      <c r="B4" s="64" t="s">
        <v>242</v>
      </c>
      <c r="C4" s="41" t="s">
        <v>243</v>
      </c>
      <c r="D4" s="41" t="s">
        <v>244</v>
      </c>
      <c r="E4" s="41" t="s">
        <v>245</v>
      </c>
      <c r="F4" s="41" t="s">
        <v>246</v>
      </c>
      <c r="G4" s="41" t="s">
        <v>324</v>
      </c>
      <c r="H4" s="41" t="s">
        <v>325</v>
      </c>
      <c r="I4" s="41" t="s">
        <v>326</v>
      </c>
      <c r="J4" s="41" t="s">
        <v>327</v>
      </c>
      <c r="K4" s="41" t="s">
        <v>251</v>
      </c>
      <c r="L4" s="41" t="s">
        <v>252</v>
      </c>
      <c r="M4" s="41">
        <v>3</v>
      </c>
      <c r="N4" s="41">
        <v>2</v>
      </c>
      <c r="O4" s="41">
        <v>1</v>
      </c>
      <c r="P4" s="45"/>
      <c r="Q4" s="48" t="s">
        <v>328</v>
      </c>
      <c r="R4" s="48" t="s">
        <v>329</v>
      </c>
      <c r="S4" s="48" t="s">
        <v>330</v>
      </c>
      <c r="T4" s="48" t="s">
        <v>106</v>
      </c>
      <c r="U4" s="53" t="s">
        <v>107</v>
      </c>
      <c r="V4" s="55"/>
      <c r="W4" s="44"/>
    </row>
    <row r="5" spans="1:27" x14ac:dyDescent="0.2">
      <c r="A5" s="42">
        <f>Gen!B11</f>
        <v>44531</v>
      </c>
      <c r="B5" s="66">
        <v>0</v>
      </c>
      <c r="C5" s="70">
        <f>Gen!C11</f>
        <v>5.1900000000000002E-2</v>
      </c>
      <c r="D5" s="349">
        <f>E5</f>
        <v>2</v>
      </c>
      <c r="E5" s="337">
        <v>2</v>
      </c>
      <c r="F5" s="59">
        <f>Gen!V11</f>
        <v>0.42833546325878596</v>
      </c>
      <c r="G5" s="68">
        <f>Gen!U11</f>
        <v>3130</v>
      </c>
      <c r="H5" s="68" t="e">
        <v>#REF!</v>
      </c>
      <c r="I5" s="68" t="e">
        <f t="shared" ref="I5:I35" si="0">SUM(G5:H5)</f>
        <v>#REF!</v>
      </c>
      <c r="J5" s="68">
        <v>47806.650000000031</v>
      </c>
      <c r="K5" s="58">
        <f>'Water-Meter'!E6</f>
        <v>79</v>
      </c>
      <c r="L5" s="361">
        <f>'Lpg (2)'!G10</f>
        <v>101.24399999997696</v>
      </c>
      <c r="M5" s="71" t="e">
        <f>#REF!</f>
        <v>#REF!</v>
      </c>
      <c r="N5" s="71" t="e">
        <f>#REF!</f>
        <v>#REF!</v>
      </c>
      <c r="O5" s="71" t="e">
        <f>#REF!</f>
        <v>#REF!</v>
      </c>
      <c r="P5" s="72">
        <f t="shared" ref="P5:P35" si="1">J5/52000</f>
        <v>0.91935865384615445</v>
      </c>
      <c r="Q5" s="6" t="e">
        <f>I5*Q2</f>
        <v>#REF!</v>
      </c>
      <c r="R5" s="62" t="e">
        <f>SUM(Q5/D5)/X5</f>
        <v>#REF!</v>
      </c>
      <c r="S5" s="353" t="e">
        <f t="shared" ref="S5:S35" si="2">SUM(Q5/E5)/X5</f>
        <v>#REF!</v>
      </c>
      <c r="T5" s="62">
        <f>(K5*102)/X5</f>
        <v>5.0871212121212119</v>
      </c>
      <c r="U5" s="105">
        <f>SUM(L5*1963)/X5</f>
        <v>125.46841666663812</v>
      </c>
      <c r="V5" s="17" t="e">
        <f>SUM(Q5+T5+U5)</f>
        <v>#REF!</v>
      </c>
      <c r="W5" s="62" t="e">
        <f>SUM(V5/E5)/#REF!</f>
        <v>#REF!</v>
      </c>
      <c r="X5">
        <f>SUM(T2)</f>
        <v>1584</v>
      </c>
      <c r="Y5" s="354">
        <v>106</v>
      </c>
      <c r="Z5" s="63" t="e">
        <f>SUM(Y5-S5)</f>
        <v>#REF!</v>
      </c>
      <c r="AA5">
        <v>106</v>
      </c>
    </row>
    <row r="6" spans="1:27" x14ac:dyDescent="0.2">
      <c r="A6" s="42">
        <f>Gen!B12</f>
        <v>44532</v>
      </c>
      <c r="B6" s="66">
        <v>0</v>
      </c>
      <c r="C6" s="70">
        <f>Gen!C12</f>
        <v>0.05</v>
      </c>
      <c r="D6" s="349">
        <f t="shared" ref="D6:D36" si="3">E6</f>
        <v>1</v>
      </c>
      <c r="E6" s="337">
        <v>1</v>
      </c>
      <c r="F6" s="59">
        <f>Gen!V12</f>
        <v>0.40863446054750402</v>
      </c>
      <c r="G6" s="68">
        <f>Gen!U12</f>
        <v>3105</v>
      </c>
      <c r="H6" s="68" t="e">
        <v>#REF!</v>
      </c>
      <c r="I6" s="68" t="e">
        <f t="shared" si="0"/>
        <v>#REF!</v>
      </c>
      <c r="J6" s="68">
        <v>45423.890000000029</v>
      </c>
      <c r="K6" s="58">
        <f>'Water-Meter'!E7</f>
        <v>67</v>
      </c>
      <c r="L6" s="361">
        <f>'Lpg (2)'!G11</f>
        <v>70.311999999982078</v>
      </c>
      <c r="M6" s="71" t="e">
        <f>#REF!</f>
        <v>#REF!</v>
      </c>
      <c r="N6" s="71" t="e">
        <f>#REF!</f>
        <v>#REF!</v>
      </c>
      <c r="O6" s="71" t="e">
        <f>#REF!</f>
        <v>#REF!</v>
      </c>
      <c r="P6" s="72">
        <f t="shared" si="1"/>
        <v>0.87353634615384668</v>
      </c>
      <c r="Q6" s="6" t="e">
        <f>I6*Q2</f>
        <v>#REF!</v>
      </c>
      <c r="R6" s="62" t="e">
        <f t="shared" ref="R6:R35" si="4">SUM(Q6/D6)/X6</f>
        <v>#REF!</v>
      </c>
      <c r="S6" s="353" t="e">
        <f t="shared" si="2"/>
        <v>#REF!</v>
      </c>
      <c r="T6" s="62">
        <f t="shared" ref="T6:T35" si="5">(K6*102)/X6</f>
        <v>4.3143939393939394</v>
      </c>
      <c r="U6" s="105">
        <f t="shared" ref="U6:U35" si="6">SUM(L6*1963)/X6</f>
        <v>87.135388888866672</v>
      </c>
      <c r="V6" s="17" t="e">
        <f t="shared" ref="V6:V36" si="7">SUM(Q6+T6+U6)</f>
        <v>#REF!</v>
      </c>
      <c r="W6" s="62" t="e">
        <f>SUM(V6/E6)/#REF!</f>
        <v>#REF!</v>
      </c>
      <c r="X6">
        <f>SUM(X5)</f>
        <v>1584</v>
      </c>
      <c r="Y6" s="354">
        <v>106</v>
      </c>
      <c r="Z6" s="63" t="e">
        <f t="shared" ref="Z6:Z35" si="8">SUM(Y6-S6)</f>
        <v>#REF!</v>
      </c>
    </row>
    <row r="7" spans="1:27" x14ac:dyDescent="0.2">
      <c r="A7" s="42">
        <f>Gen!B13</f>
        <v>44533</v>
      </c>
      <c r="B7" s="66">
        <v>0</v>
      </c>
      <c r="C7" s="70">
        <f>Gen!C13</f>
        <v>0.05</v>
      </c>
      <c r="D7" s="349">
        <f t="shared" si="3"/>
        <v>3</v>
      </c>
      <c r="E7" s="337">
        <v>3</v>
      </c>
      <c r="F7" s="59">
        <f>Gen!V13</f>
        <v>0.40452577319587629</v>
      </c>
      <c r="G7" s="68">
        <f>Gen!U13</f>
        <v>2910</v>
      </c>
      <c r="H7" s="68" t="e">
        <v>#REF!</v>
      </c>
      <c r="I7" s="68" t="e">
        <f t="shared" si="0"/>
        <v>#REF!</v>
      </c>
      <c r="J7" s="68">
        <v>42919.590000000026</v>
      </c>
      <c r="K7" s="58">
        <f>'Water-Meter'!E8</f>
        <v>83</v>
      </c>
      <c r="L7" s="361">
        <f>'Lpg (2)'!G12</f>
        <v>59.576000000035862</v>
      </c>
      <c r="M7" s="71" t="e">
        <f>#REF!</f>
        <v>#REF!</v>
      </c>
      <c r="N7" s="71" t="e">
        <f>#REF!</f>
        <v>#REF!</v>
      </c>
      <c r="O7" s="71" t="e">
        <f>#REF!</f>
        <v>#REF!</v>
      </c>
      <c r="P7" s="72">
        <f t="shared" si="1"/>
        <v>0.82537673076923124</v>
      </c>
      <c r="Q7" s="6" t="e">
        <f>I7*Q2</f>
        <v>#REF!</v>
      </c>
      <c r="R7" s="62" t="e">
        <f t="shared" si="4"/>
        <v>#REF!</v>
      </c>
      <c r="S7" s="353" t="e">
        <f t="shared" si="2"/>
        <v>#REF!</v>
      </c>
      <c r="T7" s="62">
        <f t="shared" si="5"/>
        <v>5.3446969696969697</v>
      </c>
      <c r="U7" s="105">
        <f t="shared" si="6"/>
        <v>73.830611111155548</v>
      </c>
      <c r="V7" s="17" t="e">
        <f t="shared" si="7"/>
        <v>#REF!</v>
      </c>
      <c r="W7" s="62" t="e">
        <f>SUM(V7/E7)/#REF!</f>
        <v>#REF!</v>
      </c>
      <c r="X7">
        <f t="shared" ref="X7:X35" si="9">SUM(X6)</f>
        <v>1584</v>
      </c>
      <c r="Y7" s="354">
        <v>106</v>
      </c>
      <c r="Z7" s="63" t="e">
        <f t="shared" si="8"/>
        <v>#REF!</v>
      </c>
    </row>
    <row r="8" spans="1:27" x14ac:dyDescent="0.2">
      <c r="A8" s="42">
        <f>Gen!B14</f>
        <v>44534</v>
      </c>
      <c r="B8" s="66">
        <v>0</v>
      </c>
      <c r="C8" s="70">
        <f>Gen!C14</f>
        <v>0.08</v>
      </c>
      <c r="D8" s="349">
        <f t="shared" si="3"/>
        <v>3</v>
      </c>
      <c r="E8" s="337">
        <v>3</v>
      </c>
      <c r="F8" s="59">
        <f>Gen!V14</f>
        <v>0.39319550015202193</v>
      </c>
      <c r="G8" s="68">
        <f>Gen!U14</f>
        <v>3289</v>
      </c>
      <c r="H8" s="68" t="e">
        <v>#REF!</v>
      </c>
      <c r="I8" s="68" t="e">
        <f t="shared" si="0"/>
        <v>#REF!</v>
      </c>
      <c r="J8" s="68">
        <v>40258.940000000024</v>
      </c>
      <c r="K8" s="58">
        <f>'Water-Meter'!E9</f>
        <v>67</v>
      </c>
      <c r="L8" s="361">
        <f>'Lpg (2)'!G13</f>
        <v>61.511999999982073</v>
      </c>
      <c r="M8" s="71" t="e">
        <f>#REF!</f>
        <v>#REF!</v>
      </c>
      <c r="N8" s="71" t="e">
        <f>#REF!</f>
        <v>#REF!</v>
      </c>
      <c r="O8" s="71" t="e">
        <f>#REF!</f>
        <v>#REF!</v>
      </c>
      <c r="P8" s="72">
        <f t="shared" si="1"/>
        <v>0.77421038461538505</v>
      </c>
      <c r="Q8" s="6" t="e">
        <f>I8*Q2</f>
        <v>#REF!</v>
      </c>
      <c r="R8" s="62" t="e">
        <f t="shared" si="4"/>
        <v>#REF!</v>
      </c>
      <c r="S8" s="353" t="e">
        <f t="shared" si="2"/>
        <v>#REF!</v>
      </c>
      <c r="T8" s="62">
        <f t="shared" si="5"/>
        <v>4.3143939393939394</v>
      </c>
      <c r="U8" s="105">
        <f t="shared" si="6"/>
        <v>76.22983333331112</v>
      </c>
      <c r="V8" s="17" t="e">
        <f t="shared" si="7"/>
        <v>#REF!</v>
      </c>
      <c r="W8" s="62" t="e">
        <f>SUM(V8/E8)/#REF!</f>
        <v>#REF!</v>
      </c>
      <c r="X8">
        <f t="shared" si="9"/>
        <v>1584</v>
      </c>
      <c r="Y8" s="354">
        <v>106</v>
      </c>
      <c r="Z8" s="63" t="e">
        <f t="shared" si="8"/>
        <v>#REF!</v>
      </c>
    </row>
    <row r="9" spans="1:27" x14ac:dyDescent="0.2">
      <c r="A9" s="42">
        <f>Gen!B15</f>
        <v>44535</v>
      </c>
      <c r="B9" s="66">
        <v>0</v>
      </c>
      <c r="C9" s="70">
        <f>Gen!C15</f>
        <v>0.05</v>
      </c>
      <c r="D9" s="349">
        <f t="shared" si="3"/>
        <v>1</v>
      </c>
      <c r="E9" s="337">
        <v>1</v>
      </c>
      <c r="F9" s="59">
        <f>Gen!V15</f>
        <v>0.39635410044500957</v>
      </c>
      <c r="G9" s="68">
        <f>Gen!U15</f>
        <v>3146</v>
      </c>
      <c r="H9" s="68">
        <v>0</v>
      </c>
      <c r="I9" s="68">
        <f t="shared" si="0"/>
        <v>3146</v>
      </c>
      <c r="J9" s="68">
        <v>37525.210000000021</v>
      </c>
      <c r="K9" s="58">
        <f>'Water-Meter'!E10</f>
        <v>62</v>
      </c>
      <c r="L9" s="361">
        <f>'Lpg (2)'!G14</f>
        <v>87.340000000025611</v>
      </c>
      <c r="M9" s="71" t="e">
        <f>#REF!</f>
        <v>#REF!</v>
      </c>
      <c r="N9" s="71" t="e">
        <f>#REF!</f>
        <v>#REF!</v>
      </c>
      <c r="O9" s="71" t="e">
        <f>#REF!</f>
        <v>#REF!</v>
      </c>
      <c r="P9" s="72">
        <f t="shared" si="1"/>
        <v>0.72163865384615422</v>
      </c>
      <c r="Q9" s="6">
        <f>I9*Q2</f>
        <v>6952188.0999999996</v>
      </c>
      <c r="R9" s="62">
        <f t="shared" si="4"/>
        <v>4389.0076388888883</v>
      </c>
      <c r="S9" s="353">
        <f t="shared" si="2"/>
        <v>4389.0076388888883</v>
      </c>
      <c r="T9" s="62">
        <f t="shared" si="5"/>
        <v>3.9924242424242422</v>
      </c>
      <c r="U9" s="105">
        <f t="shared" si="6"/>
        <v>108.23763888892063</v>
      </c>
      <c r="V9" s="17">
        <f t="shared" si="7"/>
        <v>6952300.3300631307</v>
      </c>
      <c r="W9" s="62" t="e">
        <f>SUM(V9/E9)/#REF!</f>
        <v>#REF!</v>
      </c>
      <c r="X9">
        <f t="shared" si="9"/>
        <v>1584</v>
      </c>
      <c r="Y9" s="354">
        <v>106</v>
      </c>
      <c r="Z9" s="63">
        <f t="shared" si="8"/>
        <v>-4283.0076388888883</v>
      </c>
    </row>
    <row r="10" spans="1:27" x14ac:dyDescent="0.2">
      <c r="A10" s="42">
        <f>Gen!B16</f>
        <v>44536</v>
      </c>
      <c r="B10" s="66">
        <v>0</v>
      </c>
      <c r="C10" s="70">
        <f>Gen!C16</f>
        <v>7.7899999999999997E-2</v>
      </c>
      <c r="D10" s="349">
        <f t="shared" si="3"/>
        <v>5</v>
      </c>
      <c r="E10" s="337">
        <v>5</v>
      </c>
      <c r="F10" s="59">
        <f>Gen!V16</f>
        <v>0.39449271050282658</v>
      </c>
      <c r="G10" s="68">
        <f>Gen!U16</f>
        <v>3361</v>
      </c>
      <c r="H10" s="68" t="e">
        <v>#REF!</v>
      </c>
      <c r="I10" s="68" t="e">
        <f t="shared" si="0"/>
        <v>#REF!</v>
      </c>
      <c r="J10" s="68">
        <v>35107.690000000024</v>
      </c>
      <c r="K10" s="58">
        <f>'Water-Meter'!E11</f>
        <v>57</v>
      </c>
      <c r="L10" s="361">
        <f>'Lpg (2)'!G15</f>
        <v>107.49199999996928</v>
      </c>
      <c r="M10" s="71" t="e">
        <f>#REF!</f>
        <v>#REF!</v>
      </c>
      <c r="N10" s="71" t="e">
        <f>#REF!</f>
        <v>#REF!</v>
      </c>
      <c r="O10" s="71" t="e">
        <f>#REF!</f>
        <v>#REF!</v>
      </c>
      <c r="P10" s="72">
        <f t="shared" si="1"/>
        <v>0.67514788461538511</v>
      </c>
      <c r="Q10" s="6" t="e">
        <f>I10*Q2</f>
        <v>#REF!</v>
      </c>
      <c r="R10" s="62" t="e">
        <f t="shared" si="4"/>
        <v>#REF!</v>
      </c>
      <c r="S10" s="353" t="e">
        <f t="shared" si="2"/>
        <v>#REF!</v>
      </c>
      <c r="T10" s="62">
        <f t="shared" si="5"/>
        <v>3.6704545454545454</v>
      </c>
      <c r="U10" s="105">
        <f t="shared" si="6"/>
        <v>133.21136111107305</v>
      </c>
      <c r="V10" s="17" t="e">
        <f t="shared" si="7"/>
        <v>#REF!</v>
      </c>
      <c r="W10" s="62" t="e">
        <f>SUM(V10/E10)/#REF!</f>
        <v>#REF!</v>
      </c>
      <c r="X10">
        <f t="shared" si="9"/>
        <v>1584</v>
      </c>
      <c r="Y10" s="354">
        <v>106</v>
      </c>
      <c r="Z10" s="63" t="e">
        <f t="shared" si="8"/>
        <v>#REF!</v>
      </c>
    </row>
    <row r="11" spans="1:27" x14ac:dyDescent="0.2">
      <c r="A11" s="42">
        <f>Gen!B17</f>
        <v>44537</v>
      </c>
      <c r="B11" s="66">
        <v>0</v>
      </c>
      <c r="C11" s="70">
        <f>Gen!C17</f>
        <v>7.7899999999999997E-2</v>
      </c>
      <c r="D11" s="349">
        <f t="shared" si="3"/>
        <v>2</v>
      </c>
      <c r="E11" s="337">
        <v>2</v>
      </c>
      <c r="F11" s="59">
        <f>Gen!V17</f>
        <v>0.40501183431952664</v>
      </c>
      <c r="G11" s="68">
        <f>Gen!U17</f>
        <v>3380</v>
      </c>
      <c r="H11" s="68">
        <v>80.56</v>
      </c>
      <c r="I11" s="68">
        <f t="shared" si="0"/>
        <v>3460.56</v>
      </c>
      <c r="J11" s="68">
        <v>47513.140000000029</v>
      </c>
      <c r="K11" s="58">
        <f>'Water-Meter'!E12</f>
        <v>73</v>
      </c>
      <c r="L11" s="361">
        <f>'Lpg (2)'!G16</f>
        <v>90.68400000000257</v>
      </c>
      <c r="M11" s="71" t="e">
        <f>#REF!</f>
        <v>#REF!</v>
      </c>
      <c r="N11" s="71" t="e">
        <f>#REF!</f>
        <v>#REF!</v>
      </c>
      <c r="O11" s="71" t="e">
        <f>#REF!</f>
        <v>#REF!</v>
      </c>
      <c r="P11" s="72">
        <f t="shared" si="1"/>
        <v>0.91371423076923131</v>
      </c>
      <c r="Q11" s="6">
        <f>I11*Q2</f>
        <v>7647318.5159999998</v>
      </c>
      <c r="R11" s="62">
        <f t="shared" si="4"/>
        <v>2413.9262992424242</v>
      </c>
      <c r="S11" s="353">
        <f t="shared" si="2"/>
        <v>2413.9262992424242</v>
      </c>
      <c r="T11" s="62">
        <f t="shared" si="5"/>
        <v>4.7007575757575761</v>
      </c>
      <c r="U11" s="105">
        <f t="shared" si="6"/>
        <v>112.38175000000318</v>
      </c>
      <c r="V11" s="17">
        <f t="shared" si="7"/>
        <v>7647435.5985075757</v>
      </c>
      <c r="W11" s="62" t="e">
        <f>SUM(V11/E11)/#REF!</f>
        <v>#REF!</v>
      </c>
      <c r="X11">
        <f t="shared" si="9"/>
        <v>1584</v>
      </c>
      <c r="Y11" s="354">
        <v>106</v>
      </c>
      <c r="Z11" s="63">
        <f t="shared" si="8"/>
        <v>-2307.9262992424242</v>
      </c>
    </row>
    <row r="12" spans="1:27" x14ac:dyDescent="0.2">
      <c r="A12" s="42">
        <f>Gen!B18</f>
        <v>44538</v>
      </c>
      <c r="B12" s="66">
        <v>0</v>
      </c>
      <c r="C12" s="70">
        <f>Gen!C18</f>
        <v>0.12</v>
      </c>
      <c r="D12" s="349">
        <f t="shared" si="3"/>
        <v>4</v>
      </c>
      <c r="E12" s="337">
        <v>4</v>
      </c>
      <c r="F12" s="59">
        <f>Gen!V18</f>
        <v>0.41714909885308571</v>
      </c>
      <c r="G12" s="68">
        <f>Gen!U18</f>
        <v>3662</v>
      </c>
      <c r="H12" s="68" t="e">
        <v>#REF!</v>
      </c>
      <c r="I12" s="68" t="e">
        <f t="shared" si="0"/>
        <v>#REF!</v>
      </c>
      <c r="J12" s="68">
        <v>45161.890000000029</v>
      </c>
      <c r="K12" s="58">
        <f>'Water-Meter'!E13</f>
        <v>80</v>
      </c>
      <c r="L12" s="361">
        <f>'Lpg (2)'!G17</f>
        <v>99.879999999987206</v>
      </c>
      <c r="M12" s="71" t="e">
        <f>#REF!</f>
        <v>#REF!</v>
      </c>
      <c r="N12" s="71" t="e">
        <f>#REF!</f>
        <v>#REF!</v>
      </c>
      <c r="O12" s="71" t="e">
        <f>#REF!</f>
        <v>#REF!</v>
      </c>
      <c r="P12" s="72">
        <f t="shared" si="1"/>
        <v>0.86849788461538513</v>
      </c>
      <c r="Q12" s="6" t="e">
        <f>I12*Q2</f>
        <v>#REF!</v>
      </c>
      <c r="R12" s="62" t="e">
        <f t="shared" si="4"/>
        <v>#REF!</v>
      </c>
      <c r="S12" s="353" t="e">
        <f t="shared" si="2"/>
        <v>#REF!</v>
      </c>
      <c r="T12" s="62">
        <f t="shared" si="5"/>
        <v>5.1515151515151514</v>
      </c>
      <c r="U12" s="105">
        <f t="shared" si="6"/>
        <v>123.77805555553969</v>
      </c>
      <c r="V12" s="17" t="e">
        <f t="shared" si="7"/>
        <v>#REF!</v>
      </c>
      <c r="W12" s="62" t="e">
        <f>SUM(V12/E12)/#REF!</f>
        <v>#REF!</v>
      </c>
      <c r="X12">
        <f t="shared" si="9"/>
        <v>1584</v>
      </c>
      <c r="Y12" s="354">
        <v>106</v>
      </c>
      <c r="Z12" s="63" t="e">
        <f t="shared" si="8"/>
        <v>#REF!</v>
      </c>
    </row>
    <row r="13" spans="1:27" x14ac:dyDescent="0.2">
      <c r="A13" s="42">
        <f>Gen!B19</f>
        <v>44539</v>
      </c>
      <c r="B13" s="66">
        <v>0</v>
      </c>
      <c r="C13" s="70">
        <f>Gen!C19</f>
        <v>0.09</v>
      </c>
      <c r="D13" s="349">
        <f t="shared" si="3"/>
        <v>3</v>
      </c>
      <c r="E13" s="337">
        <v>3</v>
      </c>
      <c r="F13" s="59">
        <f>Gen!V19</f>
        <v>0.40354810238305389</v>
      </c>
      <c r="G13" s="68">
        <f>Gen!U19</f>
        <v>3399</v>
      </c>
      <c r="H13" s="68" t="e">
        <v>#REF!</v>
      </c>
      <c r="I13" s="68" t="e">
        <f t="shared" si="0"/>
        <v>#REF!</v>
      </c>
      <c r="J13" s="68">
        <v>42825.480000000025</v>
      </c>
      <c r="K13" s="58">
        <f>'Water-Meter'!E14</f>
        <v>65</v>
      </c>
      <c r="L13" s="361">
        <f>'Lpg (2)'!G18</f>
        <v>108.98800000001793</v>
      </c>
      <c r="M13" s="71" t="e">
        <f>#REF!</f>
        <v>#REF!</v>
      </c>
      <c r="N13" s="71" t="e">
        <f>#REF!</f>
        <v>#REF!</v>
      </c>
      <c r="O13" s="71" t="e">
        <f>#REF!</f>
        <v>#REF!</v>
      </c>
      <c r="P13" s="72">
        <f t="shared" si="1"/>
        <v>0.82356692307692358</v>
      </c>
      <c r="Q13" s="6" t="e">
        <f>I13*Q2</f>
        <v>#REF!</v>
      </c>
      <c r="R13" s="62" t="e">
        <f t="shared" si="4"/>
        <v>#REF!</v>
      </c>
      <c r="S13" s="353" t="e">
        <f t="shared" si="2"/>
        <v>#REF!</v>
      </c>
      <c r="T13" s="62">
        <f t="shared" si="5"/>
        <v>4.1856060606060606</v>
      </c>
      <c r="U13" s="105">
        <f t="shared" si="6"/>
        <v>135.06530555557779</v>
      </c>
      <c r="V13" s="17" t="e">
        <f t="shared" si="7"/>
        <v>#REF!</v>
      </c>
      <c r="W13" s="62" t="e">
        <f>SUM(V13/E13)/#REF!</f>
        <v>#REF!</v>
      </c>
      <c r="X13">
        <f t="shared" si="9"/>
        <v>1584</v>
      </c>
      <c r="Y13" s="354">
        <v>106</v>
      </c>
      <c r="Z13" s="63" t="e">
        <f t="shared" si="8"/>
        <v>#REF!</v>
      </c>
    </row>
    <row r="14" spans="1:27" x14ac:dyDescent="0.2">
      <c r="A14" s="42">
        <f>Gen!B20</f>
        <v>44540</v>
      </c>
      <c r="B14" s="66">
        <v>0</v>
      </c>
      <c r="C14" s="70">
        <f>Gen!C20</f>
        <v>0.12</v>
      </c>
      <c r="D14" s="349">
        <f t="shared" si="3"/>
        <v>4</v>
      </c>
      <c r="E14" s="337">
        <v>4</v>
      </c>
      <c r="F14" s="59">
        <f>Gen!V20</f>
        <v>0.39166569767441856</v>
      </c>
      <c r="G14" s="68">
        <f>Gen!U20</f>
        <v>3440</v>
      </c>
      <c r="H14" s="68" t="e">
        <v>#REF!</v>
      </c>
      <c r="I14" s="68" t="e">
        <f t="shared" si="0"/>
        <v>#REF!</v>
      </c>
      <c r="J14" s="68">
        <v>40110.380000000026</v>
      </c>
      <c r="K14" s="58">
        <f>'Water-Meter'!E15</f>
        <v>71</v>
      </c>
      <c r="L14" s="361">
        <f>'Lpg (2)'!G19</f>
        <v>110.00000000000001</v>
      </c>
      <c r="M14" s="71" t="e">
        <f>#REF!</f>
        <v>#REF!</v>
      </c>
      <c r="N14" s="71" t="e">
        <f>#REF!</f>
        <v>#REF!</v>
      </c>
      <c r="O14" s="71" t="e">
        <f>#REF!</f>
        <v>#REF!</v>
      </c>
      <c r="P14" s="72">
        <f t="shared" si="1"/>
        <v>0.77135346153846207</v>
      </c>
      <c r="Q14" s="6" t="e">
        <f>I14*Q2</f>
        <v>#REF!</v>
      </c>
      <c r="R14" s="62" t="e">
        <f t="shared" si="4"/>
        <v>#REF!</v>
      </c>
      <c r="S14" s="353" t="e">
        <f t="shared" si="2"/>
        <v>#REF!</v>
      </c>
      <c r="T14" s="62">
        <f t="shared" si="5"/>
        <v>4.5719696969696972</v>
      </c>
      <c r="U14" s="105">
        <f t="shared" si="6"/>
        <v>136.31944444444446</v>
      </c>
      <c r="V14" s="17" t="e">
        <f t="shared" si="7"/>
        <v>#REF!</v>
      </c>
      <c r="W14" s="62" t="e">
        <f>SUM(V14/E14)/#REF!</f>
        <v>#REF!</v>
      </c>
      <c r="X14">
        <f t="shared" si="9"/>
        <v>1584</v>
      </c>
      <c r="Y14" s="354">
        <v>106</v>
      </c>
      <c r="Z14" s="63" t="e">
        <f t="shared" si="8"/>
        <v>#REF!</v>
      </c>
    </row>
    <row r="15" spans="1:27" x14ac:dyDescent="0.2">
      <c r="A15" s="42">
        <f>Gen!B21</f>
        <v>44541</v>
      </c>
      <c r="B15" s="66">
        <v>0</v>
      </c>
      <c r="C15" s="70">
        <f>Gen!C21</f>
        <v>0.12</v>
      </c>
      <c r="D15" s="349">
        <f t="shared" si="3"/>
        <v>3</v>
      </c>
      <c r="E15" s="337">
        <v>3</v>
      </c>
      <c r="F15" s="59">
        <f>Gen!V21</f>
        <v>0.40930465367965368</v>
      </c>
      <c r="G15" s="68">
        <f>Gen!U21</f>
        <v>3696</v>
      </c>
      <c r="H15" s="68" t="e">
        <v>#REF!</v>
      </c>
      <c r="I15" s="68" t="e">
        <f t="shared" si="0"/>
        <v>#REF!</v>
      </c>
      <c r="J15" s="68">
        <v>37540.570000000029</v>
      </c>
      <c r="K15" s="58">
        <f>'Water-Meter'!E16</f>
        <v>72</v>
      </c>
      <c r="L15" s="361">
        <f>'Lpg (2)'!G20</f>
        <v>105.37999999998721</v>
      </c>
      <c r="M15" s="71" t="e">
        <f>#REF!</f>
        <v>#REF!</v>
      </c>
      <c r="N15" s="71" t="e">
        <f>#REF!</f>
        <v>#REF!</v>
      </c>
      <c r="O15" s="71" t="e">
        <f>#REF!</f>
        <v>#REF!</v>
      </c>
      <c r="P15" s="72">
        <f t="shared" si="1"/>
        <v>0.72193403846153903</v>
      </c>
      <c r="Q15" s="6" t="e">
        <f>I15*Q2</f>
        <v>#REF!</v>
      </c>
      <c r="R15" s="62" t="e">
        <f t="shared" si="4"/>
        <v>#REF!</v>
      </c>
      <c r="S15" s="353" t="e">
        <f t="shared" si="2"/>
        <v>#REF!</v>
      </c>
      <c r="T15" s="62">
        <f t="shared" si="5"/>
        <v>4.6363636363636367</v>
      </c>
      <c r="U15" s="105">
        <f t="shared" si="6"/>
        <v>130.59402777776191</v>
      </c>
      <c r="V15" s="17" t="e">
        <f t="shared" si="7"/>
        <v>#REF!</v>
      </c>
      <c r="W15" s="62" t="e">
        <f>SUM(V15/E15)/#REF!</f>
        <v>#REF!</v>
      </c>
      <c r="X15">
        <f t="shared" si="9"/>
        <v>1584</v>
      </c>
      <c r="Y15" s="354">
        <v>106</v>
      </c>
      <c r="Z15" s="63" t="e">
        <f t="shared" si="8"/>
        <v>#REF!</v>
      </c>
    </row>
    <row r="16" spans="1:27" x14ac:dyDescent="0.2">
      <c r="A16" s="42">
        <f>Gen!B22</f>
        <v>44542</v>
      </c>
      <c r="B16" s="66">
        <v>0</v>
      </c>
      <c r="C16" s="70">
        <f>Gen!C22</f>
        <v>0.12</v>
      </c>
      <c r="D16" s="349">
        <f t="shared" si="3"/>
        <v>2</v>
      </c>
      <c r="E16" s="337">
        <v>2</v>
      </c>
      <c r="F16" s="59">
        <f>Gen!V22</f>
        <v>0.40736149204607791</v>
      </c>
      <c r="G16" s="68">
        <f>Gen!U22</f>
        <v>3646</v>
      </c>
      <c r="H16" s="68" t="e">
        <v>#REF!</v>
      </c>
      <c r="I16" s="68" t="e">
        <f t="shared" si="0"/>
        <v>#REF!</v>
      </c>
      <c r="J16" s="68">
        <v>34967.29000000003</v>
      </c>
      <c r="K16" s="58">
        <f>'Water-Meter'!E17</f>
        <v>65</v>
      </c>
      <c r="L16" s="361">
        <f>'Lpg (2)'!G21</f>
        <v>106.65600000002306</v>
      </c>
      <c r="M16" s="71" t="e">
        <f>#REF!</f>
        <v>#REF!</v>
      </c>
      <c r="N16" s="71" t="e">
        <f>#REF!</f>
        <v>#REF!</v>
      </c>
      <c r="O16" s="71" t="e">
        <f>#REF!</f>
        <v>#REF!</v>
      </c>
      <c r="P16" s="72">
        <f t="shared" si="1"/>
        <v>0.67244788461538518</v>
      </c>
      <c r="Q16" s="6" t="e">
        <f>I16*Q2</f>
        <v>#REF!</v>
      </c>
      <c r="R16" s="62" t="e">
        <f t="shared" si="4"/>
        <v>#REF!</v>
      </c>
      <c r="S16" s="353" t="e">
        <f t="shared" si="2"/>
        <v>#REF!</v>
      </c>
      <c r="T16" s="62">
        <f t="shared" si="5"/>
        <v>4.1856060606060606</v>
      </c>
      <c r="U16" s="105">
        <f t="shared" si="6"/>
        <v>132.17533333336192</v>
      </c>
      <c r="V16" s="17" t="e">
        <f t="shared" si="7"/>
        <v>#REF!</v>
      </c>
      <c r="W16" s="62" t="e">
        <f>SUM(V16/E16)/#REF!</f>
        <v>#REF!</v>
      </c>
      <c r="X16">
        <f t="shared" si="9"/>
        <v>1584</v>
      </c>
      <c r="Y16" s="354">
        <v>106</v>
      </c>
      <c r="Z16" s="63" t="e">
        <f t="shared" si="8"/>
        <v>#REF!</v>
      </c>
    </row>
    <row r="17" spans="1:26" x14ac:dyDescent="0.2">
      <c r="A17" s="42">
        <f>Gen!B23</f>
        <v>44543</v>
      </c>
      <c r="B17" s="66">
        <v>0</v>
      </c>
      <c r="C17" s="70">
        <f>Gen!C23</f>
        <v>0.16</v>
      </c>
      <c r="D17" s="349">
        <f t="shared" si="3"/>
        <v>8</v>
      </c>
      <c r="E17" s="337">
        <v>8</v>
      </c>
      <c r="F17" s="59">
        <f>Gen!V23</f>
        <v>0.39819258885807918</v>
      </c>
      <c r="G17" s="68">
        <f>Gen!U23</f>
        <v>3967</v>
      </c>
      <c r="H17" s="68" t="e">
        <v>#REF!</v>
      </c>
      <c r="I17" s="68" t="e">
        <f t="shared" si="0"/>
        <v>#REF!</v>
      </c>
      <c r="J17" s="68">
        <v>32228.760000000031</v>
      </c>
      <c r="K17" s="58">
        <f>'Water-Meter'!E18</f>
        <v>68</v>
      </c>
      <c r="L17" s="361">
        <f>'Lpg (2)'!G22</f>
        <v>108.02000000001281</v>
      </c>
      <c r="M17" s="71" t="e">
        <f>#REF!</f>
        <v>#REF!</v>
      </c>
      <c r="N17" s="71" t="e">
        <f>#REF!</f>
        <v>#REF!</v>
      </c>
      <c r="O17" s="71" t="e">
        <f>#REF!</f>
        <v>#REF!</v>
      </c>
      <c r="P17" s="72">
        <f t="shared" si="1"/>
        <v>0.61978384615384674</v>
      </c>
      <c r="Q17" s="6" t="e">
        <f>I17*Q2</f>
        <v>#REF!</v>
      </c>
      <c r="R17" s="62" t="e">
        <f t="shared" si="4"/>
        <v>#REF!</v>
      </c>
      <c r="S17" s="353" t="e">
        <f t="shared" si="2"/>
        <v>#REF!</v>
      </c>
      <c r="T17" s="62">
        <f t="shared" si="5"/>
        <v>4.3787878787878789</v>
      </c>
      <c r="U17" s="105">
        <f t="shared" si="6"/>
        <v>133.86569444446033</v>
      </c>
      <c r="V17" s="17" t="e">
        <f t="shared" si="7"/>
        <v>#REF!</v>
      </c>
      <c r="W17" s="62" t="e">
        <f>SUM(V17/E17)/#REF!</f>
        <v>#REF!</v>
      </c>
      <c r="X17">
        <f t="shared" si="9"/>
        <v>1584</v>
      </c>
      <c r="Y17" s="354">
        <v>106</v>
      </c>
      <c r="Z17" s="63" t="e">
        <f t="shared" si="8"/>
        <v>#REF!</v>
      </c>
    </row>
    <row r="18" spans="1:26" x14ac:dyDescent="0.2">
      <c r="A18" s="42">
        <f>Gen!B24</f>
        <v>44544</v>
      </c>
      <c r="B18" s="66">
        <v>0</v>
      </c>
      <c r="C18" s="70">
        <f>Gen!C24</f>
        <v>0.17</v>
      </c>
      <c r="D18" s="349">
        <f t="shared" si="3"/>
        <v>3</v>
      </c>
      <c r="E18" s="337">
        <v>3</v>
      </c>
      <c r="F18" s="59">
        <f>Gen!V24</f>
        <v>0.39349750806215189</v>
      </c>
      <c r="G18" s="68">
        <f>Gen!U24</f>
        <v>3411</v>
      </c>
      <c r="H18" s="68">
        <v>597.9</v>
      </c>
      <c r="I18" s="68">
        <f t="shared" si="0"/>
        <v>4008.9</v>
      </c>
      <c r="J18" s="68">
        <v>29915.45000000003</v>
      </c>
      <c r="K18" s="58">
        <f>'Water-Meter'!E19</f>
        <v>78</v>
      </c>
      <c r="L18" s="361">
        <f>'Lpg (2)'!G23</f>
        <v>103.66399999998977</v>
      </c>
      <c r="M18" s="71" t="e">
        <f>#REF!</f>
        <v>#REF!</v>
      </c>
      <c r="N18" s="71" t="e">
        <f>#REF!</f>
        <v>#REF!</v>
      </c>
      <c r="O18" s="71" t="e">
        <f>#REF!</f>
        <v>#REF!</v>
      </c>
      <c r="P18" s="72">
        <f t="shared" si="1"/>
        <v>0.57529711538461592</v>
      </c>
      <c r="Q18" s="6">
        <f>I18*Q2</f>
        <v>8859067.6649999991</v>
      </c>
      <c r="R18" s="62">
        <f t="shared" si="4"/>
        <v>1864.2819160353533</v>
      </c>
      <c r="S18" s="353">
        <f t="shared" si="2"/>
        <v>1864.2819160353533</v>
      </c>
      <c r="T18" s="62">
        <f t="shared" si="5"/>
        <v>5.0227272727272725</v>
      </c>
      <c r="U18" s="105">
        <f t="shared" si="6"/>
        <v>128.46744444443178</v>
      </c>
      <c r="V18" s="17">
        <f t="shared" si="7"/>
        <v>8859201.1551717166</v>
      </c>
      <c r="W18" s="62" t="e">
        <f>SUM(V18/E18)/#REF!</f>
        <v>#REF!</v>
      </c>
      <c r="X18">
        <f t="shared" si="9"/>
        <v>1584</v>
      </c>
      <c r="Y18" s="354">
        <v>106</v>
      </c>
      <c r="Z18" s="63">
        <f t="shared" si="8"/>
        <v>-1758.2819160353533</v>
      </c>
    </row>
    <row r="19" spans="1:26" x14ac:dyDescent="0.2">
      <c r="A19" s="42">
        <f>Gen!B25</f>
        <v>44545</v>
      </c>
      <c r="B19" s="66">
        <v>0</v>
      </c>
      <c r="C19" s="70">
        <f>Gen!C25</f>
        <v>0.18</v>
      </c>
      <c r="D19" s="349">
        <f t="shared" si="3"/>
        <v>4</v>
      </c>
      <c r="E19" s="337">
        <v>4</v>
      </c>
      <c r="F19" s="59">
        <f>Gen!V25</f>
        <v>0.4130763280041258</v>
      </c>
      <c r="G19" s="68">
        <f>Gen!U25</f>
        <v>3878</v>
      </c>
      <c r="H19" s="68">
        <v>227.73000000000002</v>
      </c>
      <c r="I19" s="68">
        <f t="shared" si="0"/>
        <v>4105.7299999999996</v>
      </c>
      <c r="J19" s="68">
        <v>42248.240000000034</v>
      </c>
      <c r="K19" s="58">
        <f>'Water-Meter'!E20</f>
        <v>72</v>
      </c>
      <c r="L19" s="361">
        <f>'Lpg (2)'!G24</f>
        <v>98.427999999979519</v>
      </c>
      <c r="M19" s="71" t="e">
        <f>#REF!</f>
        <v>#REF!</v>
      </c>
      <c r="N19" s="71" t="e">
        <f>#REF!</f>
        <v>#REF!</v>
      </c>
      <c r="O19" s="71" t="e">
        <f>#REF!</f>
        <v>#REF!</v>
      </c>
      <c r="P19" s="72">
        <f t="shared" si="1"/>
        <v>0.8124661538461545</v>
      </c>
      <c r="Q19" s="6">
        <f>I19*Q2</f>
        <v>9073047.4404999986</v>
      </c>
      <c r="R19" s="62">
        <f t="shared" si="4"/>
        <v>1431.9834975536614</v>
      </c>
      <c r="S19" s="353">
        <f t="shared" si="2"/>
        <v>1431.9834975536614</v>
      </c>
      <c r="T19" s="62">
        <f t="shared" si="5"/>
        <v>4.6363636363636367</v>
      </c>
      <c r="U19" s="105">
        <f t="shared" si="6"/>
        <v>121.97863888886351</v>
      </c>
      <c r="V19" s="17">
        <f t="shared" si="7"/>
        <v>9073174.0555025246</v>
      </c>
      <c r="W19" s="62" t="e">
        <f>SUM(V19/E19)/#REF!</f>
        <v>#REF!</v>
      </c>
      <c r="X19">
        <f t="shared" si="9"/>
        <v>1584</v>
      </c>
      <c r="Y19" s="354">
        <v>106</v>
      </c>
      <c r="Z19" s="63">
        <f t="shared" si="8"/>
        <v>-1325.9834975536614</v>
      </c>
    </row>
    <row r="20" spans="1:26" x14ac:dyDescent="0.2">
      <c r="A20" s="42">
        <f>Gen!B26</f>
        <v>44546</v>
      </c>
      <c r="B20" s="66">
        <v>0</v>
      </c>
      <c r="C20" s="70">
        <f>Gen!C26</f>
        <v>0.16</v>
      </c>
      <c r="D20" s="349">
        <f t="shared" si="3"/>
        <v>7</v>
      </c>
      <c r="E20" s="337">
        <v>7</v>
      </c>
      <c r="F20" s="59">
        <f>Gen!V26</f>
        <v>0.39082693292370713</v>
      </c>
      <c r="G20" s="68">
        <f>Gen!U26</f>
        <v>3906</v>
      </c>
      <c r="H20" s="68">
        <v>88.289999999999992</v>
      </c>
      <c r="I20" s="68">
        <f t="shared" si="0"/>
        <v>3994.29</v>
      </c>
      <c r="J20" s="68">
        <v>39497.370000000032</v>
      </c>
      <c r="K20" s="58">
        <f>'Water-Meter'!E21</f>
        <v>73</v>
      </c>
      <c r="L20" s="361">
        <f>'Lpg (2)'!G25</f>
        <v>105.02799999997951</v>
      </c>
      <c r="M20" s="71" t="e">
        <f>#REF!</f>
        <v>#REF!</v>
      </c>
      <c r="N20" s="71" t="e">
        <f>#REF!</f>
        <v>#REF!</v>
      </c>
      <c r="O20" s="71" t="e">
        <f>#REF!</f>
        <v>#REF!</v>
      </c>
      <c r="P20" s="72">
        <f t="shared" si="1"/>
        <v>0.75956480769230827</v>
      </c>
      <c r="Q20" s="6">
        <f>I20*Q2</f>
        <v>8826781.7565000001</v>
      </c>
      <c r="R20" s="62">
        <f t="shared" si="4"/>
        <v>796.06617573051949</v>
      </c>
      <c r="S20" s="353">
        <f t="shared" si="2"/>
        <v>796.06617573051949</v>
      </c>
      <c r="T20" s="62">
        <f t="shared" si="5"/>
        <v>4.7007575757575761</v>
      </c>
      <c r="U20" s="105">
        <f t="shared" si="6"/>
        <v>130.15780555553016</v>
      </c>
      <c r="V20" s="17">
        <f t="shared" si="7"/>
        <v>8826916.6150631327</v>
      </c>
      <c r="W20" s="62" t="e">
        <f>SUM(V20/E20)/#REF!</f>
        <v>#REF!</v>
      </c>
      <c r="X20">
        <f t="shared" si="9"/>
        <v>1584</v>
      </c>
      <c r="Y20" s="354">
        <v>106</v>
      </c>
      <c r="Z20" s="63">
        <f t="shared" si="8"/>
        <v>-690.06617573051949</v>
      </c>
    </row>
    <row r="21" spans="1:26" x14ac:dyDescent="0.2">
      <c r="A21" s="42">
        <f>Gen!B27</f>
        <v>44547</v>
      </c>
      <c r="B21" s="66">
        <v>0</v>
      </c>
      <c r="C21" s="70">
        <f>Gen!C27</f>
        <v>0.16</v>
      </c>
      <c r="D21" s="349">
        <f t="shared" si="3"/>
        <v>3</v>
      </c>
      <c r="E21" s="337">
        <v>3</v>
      </c>
      <c r="F21" s="59">
        <f>Gen!V27</f>
        <v>0.40365834218916041</v>
      </c>
      <c r="G21" s="68">
        <f>Gen!U27</f>
        <v>3764</v>
      </c>
      <c r="H21" s="68">
        <v>783.92</v>
      </c>
      <c r="I21" s="68">
        <f t="shared" si="0"/>
        <v>4547.92</v>
      </c>
      <c r="J21" s="68">
        <v>36688.350000000035</v>
      </c>
      <c r="K21" s="58">
        <f>'Water-Meter'!E22</f>
        <v>73</v>
      </c>
      <c r="L21" s="361">
        <f>'Lpg (2)'!G26</f>
        <v>101.72800000004355</v>
      </c>
      <c r="M21" s="71" t="e">
        <f>#REF!</f>
        <v>#REF!</v>
      </c>
      <c r="N21" s="71" t="e">
        <f>#REF!</f>
        <v>#REF!</v>
      </c>
      <c r="O21" s="71" t="e">
        <f>#REF!</f>
        <v>#REF!</v>
      </c>
      <c r="P21" s="72">
        <f t="shared" si="1"/>
        <v>0.70554519230769297</v>
      </c>
      <c r="Q21" s="6">
        <f>I21*Q2</f>
        <v>10050221.012</v>
      </c>
      <c r="R21" s="62">
        <f t="shared" si="4"/>
        <v>2114.9454991582493</v>
      </c>
      <c r="S21" s="353">
        <f t="shared" si="2"/>
        <v>2114.9454991582493</v>
      </c>
      <c r="T21" s="62">
        <f t="shared" si="5"/>
        <v>4.7007575757575761</v>
      </c>
      <c r="U21" s="105">
        <f t="shared" si="6"/>
        <v>126.06822222227619</v>
      </c>
      <c r="V21" s="17">
        <f t="shared" si="7"/>
        <v>10050351.780979799</v>
      </c>
      <c r="W21" s="62" t="e">
        <f>SUM(V21/E21)/#REF!</f>
        <v>#REF!</v>
      </c>
      <c r="X21">
        <f t="shared" si="9"/>
        <v>1584</v>
      </c>
      <c r="Y21" s="354">
        <v>106</v>
      </c>
      <c r="Z21" s="63">
        <f t="shared" si="8"/>
        <v>-2008.9454991582493</v>
      </c>
    </row>
    <row r="22" spans="1:26" x14ac:dyDescent="0.2">
      <c r="A22" s="42">
        <f>Gen!B28</f>
        <v>44548</v>
      </c>
      <c r="B22" s="66">
        <v>0</v>
      </c>
      <c r="C22" s="70">
        <f>Gen!C28</f>
        <v>0.13</v>
      </c>
      <c r="D22" s="349">
        <f t="shared" si="3"/>
        <v>1</v>
      </c>
      <c r="E22" s="337">
        <v>1</v>
      </c>
      <c r="F22" s="59">
        <f>Gen!V28</f>
        <v>0.3945440494590417</v>
      </c>
      <c r="G22" s="68">
        <f>Gen!U28</f>
        <v>3882</v>
      </c>
      <c r="H22" s="68" t="e">
        <v>#REF!</v>
      </c>
      <c r="I22" s="68" t="e">
        <f t="shared" si="0"/>
        <v>#REF!</v>
      </c>
      <c r="J22" s="68">
        <v>33769.340000000033</v>
      </c>
      <c r="K22" s="58">
        <f>'Water-Meter'!E23</f>
        <v>85</v>
      </c>
      <c r="L22" s="361">
        <f>'Lpg (2)'!G27</f>
        <v>107.27199999995646</v>
      </c>
      <c r="M22" s="71" t="e">
        <f>#REF!</f>
        <v>#REF!</v>
      </c>
      <c r="N22" s="71" t="e">
        <f>#REF!</f>
        <v>#REF!</v>
      </c>
      <c r="O22" s="71" t="e">
        <f>#REF!</f>
        <v>#REF!</v>
      </c>
      <c r="P22" s="72">
        <f t="shared" si="1"/>
        <v>0.64941038461538525</v>
      </c>
      <c r="Q22" s="6" t="e">
        <f>I22*Q2</f>
        <v>#REF!</v>
      </c>
      <c r="R22" s="62" t="e">
        <f t="shared" si="4"/>
        <v>#REF!</v>
      </c>
      <c r="S22" s="353" t="e">
        <f t="shared" si="2"/>
        <v>#REF!</v>
      </c>
      <c r="T22" s="62">
        <f t="shared" si="5"/>
        <v>5.4734848484848486</v>
      </c>
      <c r="U22" s="105">
        <f t="shared" si="6"/>
        <v>132.93872222216828</v>
      </c>
      <c r="V22" s="17" t="e">
        <f t="shared" si="7"/>
        <v>#REF!</v>
      </c>
      <c r="W22" s="62" t="e">
        <f>SUM(V22/E22)/#REF!</f>
        <v>#REF!</v>
      </c>
      <c r="X22">
        <f t="shared" si="9"/>
        <v>1584</v>
      </c>
      <c r="Y22" s="354">
        <v>106</v>
      </c>
      <c r="Z22" s="63" t="e">
        <f t="shared" si="8"/>
        <v>#REF!</v>
      </c>
    </row>
    <row r="23" spans="1:26" x14ac:dyDescent="0.2">
      <c r="A23" s="42">
        <f>Gen!B29</f>
        <v>44549</v>
      </c>
      <c r="B23" s="66">
        <v>0</v>
      </c>
      <c r="C23" s="70">
        <f>Gen!C29</f>
        <v>0.12</v>
      </c>
      <c r="D23" s="349">
        <f t="shared" si="3"/>
        <v>0</v>
      </c>
      <c r="E23" s="337">
        <v>0</v>
      </c>
      <c r="F23" s="59">
        <f>Gen!V29</f>
        <v>0.42474232309746324</v>
      </c>
      <c r="G23" s="68">
        <f>Gen!U29</f>
        <v>3745</v>
      </c>
      <c r="H23" s="68" t="e">
        <v>#REF!</v>
      </c>
      <c r="I23" s="68" t="e">
        <f t="shared" si="0"/>
        <v>#REF!</v>
      </c>
      <c r="J23" s="68">
        <v>31336.770000000033</v>
      </c>
      <c r="K23" s="58">
        <f>'Water-Meter'!E24</f>
        <v>80</v>
      </c>
      <c r="L23" s="361">
        <f>'Lpg (2)'!G28</f>
        <v>94.468000000005134</v>
      </c>
      <c r="M23" s="71" t="e">
        <f>#REF!</f>
        <v>#REF!</v>
      </c>
      <c r="N23" s="71" t="e">
        <f>#REF!</f>
        <v>#REF!</v>
      </c>
      <c r="O23" s="71" t="e">
        <f>#REF!</f>
        <v>#REF!</v>
      </c>
      <c r="P23" s="72">
        <f t="shared" si="1"/>
        <v>0.60263019230769299</v>
      </c>
      <c r="Q23" s="6" t="e">
        <f>I23*Q2</f>
        <v>#REF!</v>
      </c>
      <c r="R23" s="62" t="e">
        <f t="shared" si="4"/>
        <v>#REF!</v>
      </c>
      <c r="S23" s="353" t="e">
        <f t="shared" si="2"/>
        <v>#REF!</v>
      </c>
      <c r="T23" s="62">
        <f t="shared" si="5"/>
        <v>5.1515151515151514</v>
      </c>
      <c r="U23" s="105">
        <f t="shared" si="6"/>
        <v>117.07113888889525</v>
      </c>
      <c r="V23" s="17" t="e">
        <f t="shared" si="7"/>
        <v>#REF!</v>
      </c>
      <c r="W23" s="62" t="e">
        <f>SUM(V23/E23)/#REF!</f>
        <v>#REF!</v>
      </c>
      <c r="X23">
        <f t="shared" si="9"/>
        <v>1584</v>
      </c>
      <c r="Y23" s="354">
        <v>106</v>
      </c>
      <c r="Z23" s="63" t="e">
        <f t="shared" si="8"/>
        <v>#REF!</v>
      </c>
    </row>
    <row r="24" spans="1:26" x14ac:dyDescent="0.2">
      <c r="A24" s="42">
        <f>Gen!B30</f>
        <v>44550</v>
      </c>
      <c r="B24" s="66">
        <v>0</v>
      </c>
      <c r="C24" s="70">
        <f>Gen!C30</f>
        <v>0.06</v>
      </c>
      <c r="D24" s="349">
        <f t="shared" si="3"/>
        <v>3</v>
      </c>
      <c r="E24" s="337">
        <v>3</v>
      </c>
      <c r="F24" s="59">
        <f>Gen!V30</f>
        <v>0.39317777095486645</v>
      </c>
      <c r="G24" s="68">
        <f>Gen!U30</f>
        <v>3257</v>
      </c>
      <c r="H24" s="68" t="e">
        <v>#REF!</v>
      </c>
      <c r="I24" s="68" t="e">
        <f t="shared" si="0"/>
        <v>#REF!</v>
      </c>
      <c r="J24" s="68">
        <v>29403.300000000032</v>
      </c>
      <c r="K24" s="58">
        <f>'Water-Meter'!E25</f>
        <v>76</v>
      </c>
      <c r="L24" s="361">
        <f>'Lpg (2)'!G29</f>
        <v>87.868000000005125</v>
      </c>
      <c r="M24" s="71" t="e">
        <f>#REF!</f>
        <v>#REF!</v>
      </c>
      <c r="N24" s="71" t="e">
        <f>#REF!</f>
        <v>#REF!</v>
      </c>
      <c r="O24" s="71" t="e">
        <f>#REF!</f>
        <v>#REF!</v>
      </c>
      <c r="P24" s="72">
        <f t="shared" si="1"/>
        <v>0.56544807692307753</v>
      </c>
      <c r="Q24" s="6" t="e">
        <f>I24*Q2</f>
        <v>#REF!</v>
      </c>
      <c r="R24" s="62" t="e">
        <f t="shared" si="4"/>
        <v>#REF!</v>
      </c>
      <c r="S24" s="353" t="e">
        <f t="shared" si="2"/>
        <v>#REF!</v>
      </c>
      <c r="T24" s="62">
        <f t="shared" si="5"/>
        <v>4.8939393939393936</v>
      </c>
      <c r="U24" s="105">
        <f t="shared" si="6"/>
        <v>108.89197222222857</v>
      </c>
      <c r="V24" s="17" t="e">
        <f t="shared" si="7"/>
        <v>#REF!</v>
      </c>
      <c r="W24" s="62" t="e">
        <f>SUM(V24/E24)/#REF!</f>
        <v>#REF!</v>
      </c>
      <c r="X24">
        <f t="shared" si="9"/>
        <v>1584</v>
      </c>
      <c r="Y24" s="354">
        <v>106</v>
      </c>
      <c r="Z24" s="63" t="e">
        <f t="shared" si="8"/>
        <v>#REF!</v>
      </c>
    </row>
    <row r="25" spans="1:26" x14ac:dyDescent="0.2">
      <c r="A25" s="42">
        <f>Gen!B31</f>
        <v>44551</v>
      </c>
      <c r="B25" s="66">
        <v>0</v>
      </c>
      <c r="C25" s="70">
        <f>Gen!C31</f>
        <v>0.1</v>
      </c>
      <c r="D25" s="349">
        <f t="shared" si="3"/>
        <v>5</v>
      </c>
      <c r="E25" s="337">
        <v>5</v>
      </c>
      <c r="F25" s="59">
        <f>Gen!V31</f>
        <v>0.41178420467185761</v>
      </c>
      <c r="G25" s="68">
        <f>Gen!U31</f>
        <v>4495</v>
      </c>
      <c r="H25" s="68">
        <f>Gen!V31</f>
        <v>0.41178420467185761</v>
      </c>
      <c r="I25" s="68">
        <f>Gen!W31</f>
        <v>0</v>
      </c>
      <c r="J25" s="68">
        <v>41422.370000000032</v>
      </c>
      <c r="K25" s="58">
        <f>'Water-Meter'!E26</f>
        <v>69</v>
      </c>
      <c r="L25" s="361">
        <f>'Lpg (2)'!G30</f>
        <v>113.43199999999489</v>
      </c>
      <c r="M25" s="71" t="e">
        <f>#REF!</f>
        <v>#REF!</v>
      </c>
      <c r="N25" s="71" t="e">
        <f>#REF!</f>
        <v>#REF!</v>
      </c>
      <c r="O25" s="71" t="e">
        <f>#REF!</f>
        <v>#REF!</v>
      </c>
      <c r="P25" s="72">
        <f t="shared" si="1"/>
        <v>0.79658403846153902</v>
      </c>
      <c r="Q25" s="6">
        <f>I25*Q2</f>
        <v>0</v>
      </c>
      <c r="R25" s="62">
        <f t="shared" si="4"/>
        <v>0</v>
      </c>
      <c r="S25" s="353">
        <f t="shared" si="2"/>
        <v>0</v>
      </c>
      <c r="T25" s="62">
        <f t="shared" si="5"/>
        <v>4.4431818181818183</v>
      </c>
      <c r="U25" s="105">
        <f t="shared" si="6"/>
        <v>140.57261111110478</v>
      </c>
      <c r="V25" s="17">
        <f t="shared" si="7"/>
        <v>145.01579292928659</v>
      </c>
      <c r="W25" s="62" t="e">
        <f t="shared" ref="W25" si="10">SUM(V25/E25)/T1</f>
        <v>#DIV/0!</v>
      </c>
      <c r="X25">
        <f t="shared" si="9"/>
        <v>1584</v>
      </c>
      <c r="Y25" s="354">
        <v>106</v>
      </c>
      <c r="Z25" s="63">
        <f t="shared" si="8"/>
        <v>106</v>
      </c>
    </row>
    <row r="26" spans="1:26" x14ac:dyDescent="0.2">
      <c r="A26" s="42">
        <f>Gen!B32</f>
        <v>44552</v>
      </c>
      <c r="B26" s="66">
        <v>0</v>
      </c>
      <c r="C26" s="70">
        <f>Gen!C32</f>
        <v>0.17</v>
      </c>
      <c r="D26" s="349">
        <f t="shared" si="3"/>
        <v>6</v>
      </c>
      <c r="E26" s="337">
        <v>6</v>
      </c>
      <c r="F26" s="59">
        <f>Gen!V32</f>
        <v>0.42388138138138137</v>
      </c>
      <c r="G26" s="68">
        <f>Gen!U32</f>
        <v>3996</v>
      </c>
      <c r="H26" s="68">
        <v>18.63</v>
      </c>
      <c r="I26" s="68">
        <f t="shared" si="0"/>
        <v>4014.63</v>
      </c>
      <c r="J26" s="68">
        <v>38988.160000000033</v>
      </c>
      <c r="K26" s="58">
        <f>'Water-Meter'!E27</f>
        <v>71</v>
      </c>
      <c r="L26" s="361">
        <f>'Lpg (2)'!G31</f>
        <v>114.44400000004099</v>
      </c>
      <c r="M26" s="71" t="e">
        <f>#REF!</f>
        <v>#REF!</v>
      </c>
      <c r="N26" s="71" t="e">
        <f>#REF!</f>
        <v>#REF!</v>
      </c>
      <c r="O26" s="71" t="e">
        <f>#REF!</f>
        <v>#REF!</v>
      </c>
      <c r="P26" s="72">
        <f t="shared" si="1"/>
        <v>0.74977230769230829</v>
      </c>
      <c r="Q26" s="6">
        <f>I26*Q2</f>
        <v>8871730.1054999996</v>
      </c>
      <c r="R26" s="62">
        <f t="shared" si="4"/>
        <v>933.47328551136354</v>
      </c>
      <c r="S26" s="353">
        <f t="shared" si="2"/>
        <v>933.47328551136354</v>
      </c>
      <c r="T26" s="62">
        <f t="shared" si="5"/>
        <v>4.5719696969696972</v>
      </c>
      <c r="U26" s="105">
        <f t="shared" si="6"/>
        <v>141.82675000005079</v>
      </c>
      <c r="V26" s="17">
        <f t="shared" si="7"/>
        <v>8871876.5042196978</v>
      </c>
      <c r="W26" s="62">
        <f>SUM(V26/E26)/T2</f>
        <v>933.48868941705575</v>
      </c>
      <c r="X26">
        <f t="shared" si="9"/>
        <v>1584</v>
      </c>
      <c r="Y26" s="354">
        <v>106</v>
      </c>
      <c r="Z26" s="63">
        <f t="shared" si="8"/>
        <v>-827.47328551136354</v>
      </c>
    </row>
    <row r="27" spans="1:26" x14ac:dyDescent="0.2">
      <c r="A27" s="42">
        <f>Gen!B33</f>
        <v>44553</v>
      </c>
      <c r="B27" s="66">
        <v>0</v>
      </c>
      <c r="C27" s="70">
        <f>Gen!C33</f>
        <v>0.17</v>
      </c>
      <c r="D27" s="349">
        <f t="shared" si="3"/>
        <v>4</v>
      </c>
      <c r="E27" s="337">
        <v>4</v>
      </c>
      <c r="F27" s="59">
        <f>Gen!V33</f>
        <v>0.40096612595419845</v>
      </c>
      <c r="G27" s="68">
        <f>Gen!U33</f>
        <v>4192</v>
      </c>
      <c r="H27" s="68">
        <v>311.34000000000003</v>
      </c>
      <c r="I27" s="68">
        <f t="shared" si="0"/>
        <v>4503.34</v>
      </c>
      <c r="J27" s="68">
        <v>36682.670000000035</v>
      </c>
      <c r="K27" s="58">
        <f>'Water-Meter'!E28</f>
        <v>85</v>
      </c>
      <c r="L27" s="361">
        <f>'Lpg (2)'!G32</f>
        <v>114.09199999996927</v>
      </c>
      <c r="M27" s="71" t="e">
        <f>#REF!</f>
        <v>#REF!</v>
      </c>
      <c r="N27" s="71" t="e">
        <f>#REF!</f>
        <v>#REF!</v>
      </c>
      <c r="O27" s="71" t="e">
        <f>#REF!</f>
        <v>#REF!</v>
      </c>
      <c r="P27" s="72">
        <f t="shared" si="1"/>
        <v>0.70543596153846222</v>
      </c>
      <c r="Q27" s="6">
        <f>I27*Q2</f>
        <v>9951705.8990000002</v>
      </c>
      <c r="R27" s="62">
        <f t="shared" si="4"/>
        <v>1570.6606532512626</v>
      </c>
      <c r="S27" s="353">
        <f t="shared" si="2"/>
        <v>1570.6606532512626</v>
      </c>
      <c r="T27" s="62">
        <f t="shared" si="5"/>
        <v>5.4734848484848486</v>
      </c>
      <c r="U27" s="105">
        <f t="shared" si="6"/>
        <v>141.39052777773969</v>
      </c>
      <c r="V27" s="17">
        <f t="shared" si="7"/>
        <v>9951852.7630126253</v>
      </c>
      <c r="W27" s="62">
        <f>SUM(V27/E27)/T2</f>
        <v>1570.6838325461845</v>
      </c>
      <c r="X27">
        <f t="shared" si="9"/>
        <v>1584</v>
      </c>
      <c r="Y27" s="354">
        <v>106</v>
      </c>
      <c r="Z27" s="63">
        <f t="shared" si="8"/>
        <v>-1464.6606532512626</v>
      </c>
    </row>
    <row r="28" spans="1:26" x14ac:dyDescent="0.2">
      <c r="A28" s="42">
        <f>Gen!B34</f>
        <v>44554</v>
      </c>
      <c r="B28" s="66">
        <v>0</v>
      </c>
      <c r="C28" s="70">
        <f>Gen!C34</f>
        <v>0.47</v>
      </c>
      <c r="D28" s="349">
        <f t="shared" si="3"/>
        <v>25</v>
      </c>
      <c r="E28" s="337">
        <v>25</v>
      </c>
      <c r="F28" s="59">
        <f>Gen!V34</f>
        <v>0.42705882352941171</v>
      </c>
      <c r="G28" s="68">
        <f>Gen!U34</f>
        <v>4947</v>
      </c>
      <c r="H28" s="68">
        <v>380.7</v>
      </c>
      <c r="I28" s="68">
        <f t="shared" si="0"/>
        <v>5327.7</v>
      </c>
      <c r="J28" s="68">
        <v>44223.030000000035</v>
      </c>
      <c r="K28" s="58">
        <f>'Water-Meter'!E29</f>
        <v>75</v>
      </c>
      <c r="L28" s="361">
        <f>'Lpg (2)'!G33</f>
        <v>117.92000000001282</v>
      </c>
      <c r="M28" s="71" t="e">
        <f>#REF!</f>
        <v>#REF!</v>
      </c>
      <c r="N28" s="71" t="e">
        <f>#REF!</f>
        <v>#REF!</v>
      </c>
      <c r="O28" s="71" t="e">
        <f>#REF!</f>
        <v>#REF!</v>
      </c>
      <c r="P28" s="72">
        <f t="shared" si="1"/>
        <v>0.85044288461538531</v>
      </c>
      <c r="Q28" s="6">
        <f>I28*Q2</f>
        <v>11773417.844999999</v>
      </c>
      <c r="R28" s="62">
        <f t="shared" si="4"/>
        <v>297.3085314393939</v>
      </c>
      <c r="S28" s="353">
        <f t="shared" si="2"/>
        <v>297.3085314393939</v>
      </c>
      <c r="T28" s="62">
        <f t="shared" si="5"/>
        <v>4.8295454545454541</v>
      </c>
      <c r="U28" s="105">
        <f t="shared" si="6"/>
        <v>146.13444444446034</v>
      </c>
      <c r="V28" s="17">
        <f t="shared" si="7"/>
        <v>11773568.808989899</v>
      </c>
      <c r="W28" s="62">
        <f>SUM(V28/E28)/T2</f>
        <v>297.31234366136107</v>
      </c>
      <c r="X28">
        <f t="shared" si="9"/>
        <v>1584</v>
      </c>
      <c r="Y28" s="354">
        <v>106</v>
      </c>
      <c r="Z28" s="63">
        <f t="shared" si="8"/>
        <v>-191.3085314393939</v>
      </c>
    </row>
    <row r="29" spans="1:26" x14ac:dyDescent="0.2">
      <c r="A29" s="42">
        <f>Gen!B35</f>
        <v>44555</v>
      </c>
      <c r="B29" s="66">
        <v>0</v>
      </c>
      <c r="C29" s="70">
        <f>Gen!C35</f>
        <v>0.57999999999999996</v>
      </c>
      <c r="D29" s="349">
        <f t="shared" si="3"/>
        <v>19</v>
      </c>
      <c r="E29" s="337">
        <v>19</v>
      </c>
      <c r="F29" s="59">
        <f>Gen!V35</f>
        <v>0.40786861907667277</v>
      </c>
      <c r="G29" s="68">
        <f>Gen!U35</f>
        <v>4917</v>
      </c>
      <c r="H29" s="68">
        <v>273.37</v>
      </c>
      <c r="I29" s="68">
        <f t="shared" si="0"/>
        <v>5190.37</v>
      </c>
      <c r="J29" s="68">
        <v>41629.060000000034</v>
      </c>
      <c r="K29" s="58">
        <f>'Water-Meter'!E30</f>
        <v>102</v>
      </c>
      <c r="L29" s="361">
        <f>'Lpg (2)'!G34</f>
        <v>129.40400000001537</v>
      </c>
      <c r="M29" s="71" t="e">
        <f>#REF!</f>
        <v>#REF!</v>
      </c>
      <c r="N29" s="71" t="e">
        <f>#REF!</f>
        <v>#REF!</v>
      </c>
      <c r="O29" s="71" t="e">
        <f>#REF!</f>
        <v>#REF!</v>
      </c>
      <c r="P29" s="72">
        <f t="shared" si="1"/>
        <v>0.80055884615384676</v>
      </c>
      <c r="Q29" s="6">
        <f>I29*Q2</f>
        <v>11469939.144499999</v>
      </c>
      <c r="R29" s="62">
        <f t="shared" si="4"/>
        <v>381.11174722554483</v>
      </c>
      <c r="S29" s="353">
        <f t="shared" si="2"/>
        <v>381.11174722554483</v>
      </c>
      <c r="T29" s="62">
        <f t="shared" si="5"/>
        <v>6.5681818181818183</v>
      </c>
      <c r="U29" s="105">
        <f t="shared" si="6"/>
        <v>160.3661944444635</v>
      </c>
      <c r="V29" s="17">
        <f t="shared" si="7"/>
        <v>11470106.078876261</v>
      </c>
      <c r="W29" s="62">
        <f>SUM(V29/E29)/T2</f>
        <v>381.11729395521871</v>
      </c>
      <c r="X29">
        <f t="shared" si="9"/>
        <v>1584</v>
      </c>
      <c r="Y29" s="354">
        <v>106</v>
      </c>
      <c r="Z29" s="63">
        <f t="shared" si="8"/>
        <v>-275.11174722554483</v>
      </c>
    </row>
    <row r="30" spans="1:26" x14ac:dyDescent="0.2">
      <c r="A30" s="42">
        <f>Gen!B36</f>
        <v>44556</v>
      </c>
      <c r="B30" s="66">
        <v>0</v>
      </c>
      <c r="C30" s="70">
        <f>Gen!C36</f>
        <v>0.43</v>
      </c>
      <c r="D30" s="349">
        <f t="shared" si="3"/>
        <v>3</v>
      </c>
      <c r="E30" s="337">
        <v>3</v>
      </c>
      <c r="F30" s="59">
        <f>Gen!V36</f>
        <v>0.43874595469255662</v>
      </c>
      <c r="G30" s="68">
        <f>Gen!U36</f>
        <v>4944</v>
      </c>
      <c r="H30" s="68">
        <v>396.56</v>
      </c>
      <c r="I30" s="68">
        <f t="shared" si="0"/>
        <v>5340.56</v>
      </c>
      <c r="J30" s="68">
        <v>39251.170000000035</v>
      </c>
      <c r="K30" s="58">
        <f>'Water-Meter'!E31</f>
        <v>106</v>
      </c>
      <c r="L30" s="361">
        <f>'Lpg (2)'!G35</f>
        <v>115.76399999998976</v>
      </c>
      <c r="M30" s="71" t="e">
        <f>#REF!</f>
        <v>#REF!</v>
      </c>
      <c r="N30" s="71" t="e">
        <f>#REF!</f>
        <v>#REF!</v>
      </c>
      <c r="O30" s="71" t="e">
        <f>#REF!</f>
        <v>#REF!</v>
      </c>
      <c r="P30" s="72">
        <f t="shared" si="1"/>
        <v>0.75483019230769299</v>
      </c>
      <c r="Q30" s="6">
        <f>I30*Q2</f>
        <v>11801836.516000001</v>
      </c>
      <c r="R30" s="62">
        <f t="shared" si="4"/>
        <v>2483.5514553872058</v>
      </c>
      <c r="S30" s="353">
        <f t="shared" si="2"/>
        <v>2483.5514553872058</v>
      </c>
      <c r="T30" s="62">
        <f t="shared" si="5"/>
        <v>6.8257575757575761</v>
      </c>
      <c r="U30" s="105">
        <f t="shared" si="6"/>
        <v>143.46258333332065</v>
      </c>
      <c r="V30" s="17">
        <f t="shared" si="7"/>
        <v>11801986.80434091</v>
      </c>
      <c r="W30" s="62">
        <f>SUM(V30/E30)/T2</f>
        <v>2483.5830817215719</v>
      </c>
      <c r="X30">
        <f t="shared" si="9"/>
        <v>1584</v>
      </c>
      <c r="Y30" s="354">
        <v>106</v>
      </c>
      <c r="Z30" s="63">
        <f t="shared" si="8"/>
        <v>-2377.5514553872058</v>
      </c>
    </row>
    <row r="31" spans="1:26" x14ac:dyDescent="0.2">
      <c r="A31" s="42">
        <f>Gen!B37</f>
        <v>44557</v>
      </c>
      <c r="B31" s="66">
        <v>0</v>
      </c>
      <c r="C31" s="70">
        <f>Gen!C37</f>
        <v>0.39</v>
      </c>
      <c r="D31" s="349">
        <f t="shared" si="3"/>
        <v>16</v>
      </c>
      <c r="E31" s="337">
        <v>16</v>
      </c>
      <c r="F31" s="59">
        <f>Gen!V37</f>
        <v>0.40575800000000001</v>
      </c>
      <c r="G31" s="68">
        <f>Gen!U37</f>
        <v>5000</v>
      </c>
      <c r="H31" s="68">
        <v>280.63</v>
      </c>
      <c r="I31" s="68">
        <f t="shared" si="0"/>
        <v>5280.63</v>
      </c>
      <c r="J31" s="68">
        <v>36384.370000000032</v>
      </c>
      <c r="K31" s="58">
        <f>'Water-Meter'!E32</f>
        <v>102</v>
      </c>
      <c r="L31" s="361">
        <f>'Lpg (2)'!G36</f>
        <v>127.33600000001026</v>
      </c>
      <c r="M31" s="71" t="e">
        <f>#REF!</f>
        <v>#REF!</v>
      </c>
      <c r="N31" s="71" t="e">
        <f>#REF!</f>
        <v>#REF!</v>
      </c>
      <c r="O31" s="71" t="e">
        <f>#REF!</f>
        <v>#REF!</v>
      </c>
      <c r="P31" s="72">
        <f t="shared" si="1"/>
        <v>0.69969942307692368</v>
      </c>
      <c r="Q31" s="6">
        <f>I31*Q2</f>
        <v>11669400.205499999</v>
      </c>
      <c r="R31" s="62">
        <f t="shared" si="4"/>
        <v>460.44034901751888</v>
      </c>
      <c r="S31" s="353">
        <f t="shared" si="2"/>
        <v>460.44034901751888</v>
      </c>
      <c r="T31" s="62">
        <f t="shared" si="5"/>
        <v>6.5681818181818183</v>
      </c>
      <c r="U31" s="105">
        <f t="shared" si="6"/>
        <v>157.80338888890159</v>
      </c>
      <c r="V31" s="17">
        <f t="shared" si="7"/>
        <v>11669564.577070706</v>
      </c>
      <c r="W31" s="62">
        <f>SUM(V31/E31)/T2</f>
        <v>460.4468346382065</v>
      </c>
      <c r="X31">
        <f t="shared" si="9"/>
        <v>1584</v>
      </c>
      <c r="Y31" s="354">
        <v>106</v>
      </c>
      <c r="Z31" s="63">
        <f t="shared" si="8"/>
        <v>-354.44034901751888</v>
      </c>
    </row>
    <row r="32" spans="1:26" x14ac:dyDescent="0.2">
      <c r="A32" s="42">
        <f>Gen!B38</f>
        <v>44558</v>
      </c>
      <c r="B32" s="66">
        <v>0</v>
      </c>
      <c r="C32" s="70">
        <f>Gen!C38</f>
        <v>0.43</v>
      </c>
      <c r="D32" s="349">
        <f t="shared" si="3"/>
        <v>15</v>
      </c>
      <c r="E32" s="337">
        <v>15</v>
      </c>
      <c r="F32" s="59">
        <f>Gen!V38</f>
        <v>0.43917664670658685</v>
      </c>
      <c r="G32" s="68">
        <f>Gen!U38</f>
        <v>4676</v>
      </c>
      <c r="H32" s="68">
        <v>0</v>
      </c>
      <c r="I32" s="68">
        <f t="shared" si="0"/>
        <v>4676</v>
      </c>
      <c r="J32" s="68">
        <v>33780.000000000029</v>
      </c>
      <c r="K32" s="58">
        <f>'Water-Meter'!E33</f>
        <v>109</v>
      </c>
      <c r="L32" s="361">
        <f>'Lpg (2)'!G37</f>
        <v>126.71999999994878</v>
      </c>
      <c r="M32" s="71" t="e">
        <f>#REF!</f>
        <v>#REF!</v>
      </c>
      <c r="N32" s="71" t="e">
        <f>#REF!</f>
        <v>#REF!</v>
      </c>
      <c r="O32" s="71" t="e">
        <f>#REF!</f>
        <v>#REF!</v>
      </c>
      <c r="P32" s="72">
        <f t="shared" si="1"/>
        <v>0.64961538461538515</v>
      </c>
      <c r="Q32" s="6">
        <f>I32*Q2</f>
        <v>10333258.6</v>
      </c>
      <c r="R32" s="62">
        <f t="shared" si="4"/>
        <v>434.90145622895619</v>
      </c>
      <c r="S32" s="353">
        <f t="shared" si="2"/>
        <v>434.90145622895619</v>
      </c>
      <c r="T32" s="62">
        <f t="shared" si="5"/>
        <v>7.0189393939393936</v>
      </c>
      <c r="U32" s="105">
        <f t="shared" si="6"/>
        <v>157.03999999993653</v>
      </c>
      <c r="V32" s="17">
        <f t="shared" si="7"/>
        <v>10333422.658939393</v>
      </c>
      <c r="W32" s="62">
        <f>SUM(V32/E32)/T2</f>
        <v>434.90836106647276</v>
      </c>
      <c r="X32">
        <f t="shared" si="9"/>
        <v>1584</v>
      </c>
      <c r="Y32" s="354">
        <v>106</v>
      </c>
      <c r="Z32" s="63">
        <f t="shared" si="8"/>
        <v>-328.90145622895619</v>
      </c>
    </row>
    <row r="33" spans="1:26" x14ac:dyDescent="0.2">
      <c r="A33" s="42">
        <f>Gen!B39</f>
        <v>44559</v>
      </c>
      <c r="B33" s="66">
        <v>0</v>
      </c>
      <c r="C33" s="70">
        <f>Gen!C39</f>
        <v>0.53</v>
      </c>
      <c r="D33" s="349">
        <f t="shared" si="3"/>
        <v>11</v>
      </c>
      <c r="E33" s="337">
        <v>11</v>
      </c>
      <c r="F33" s="59">
        <f>Gen!V39</f>
        <v>0.4169971381847915</v>
      </c>
      <c r="G33" s="68">
        <f>Gen!U39</f>
        <v>4892</v>
      </c>
      <c r="H33" s="68">
        <v>0</v>
      </c>
      <c r="I33" s="68">
        <f t="shared" si="0"/>
        <v>4892</v>
      </c>
      <c r="J33" s="68">
        <v>33780.000000000029</v>
      </c>
      <c r="K33" s="58">
        <f>'Water-Meter'!E34</f>
        <v>111</v>
      </c>
      <c r="L33" s="361">
        <f>'Lpg (2)'!G38</f>
        <v>135.38800000001794</v>
      </c>
      <c r="M33" s="71" t="e">
        <f>#REF!</f>
        <v>#REF!</v>
      </c>
      <c r="N33" s="71" t="e">
        <f>#REF!</f>
        <v>#REF!</v>
      </c>
      <c r="O33" s="71" t="e">
        <f>#REF!</f>
        <v>#REF!</v>
      </c>
      <c r="P33" s="72">
        <f t="shared" si="1"/>
        <v>0.64961538461538515</v>
      </c>
      <c r="Q33" s="6">
        <f>I33*Q2</f>
        <v>10810586.199999999</v>
      </c>
      <c r="R33" s="62">
        <f t="shared" si="4"/>
        <v>620.44227502295678</v>
      </c>
      <c r="S33" s="353">
        <f t="shared" si="2"/>
        <v>620.44227502295678</v>
      </c>
      <c r="T33" s="62">
        <f t="shared" si="5"/>
        <v>7.1477272727272725</v>
      </c>
      <c r="U33" s="105">
        <f t="shared" si="6"/>
        <v>167.78197222224443</v>
      </c>
      <c r="V33" s="17">
        <f t="shared" si="7"/>
        <v>10810761.129699495</v>
      </c>
      <c r="W33" s="62">
        <f>SUM(V33/E33)/T2</f>
        <v>620.45231460626121</v>
      </c>
      <c r="X33">
        <f t="shared" si="9"/>
        <v>1584</v>
      </c>
      <c r="Y33" s="354">
        <v>106</v>
      </c>
      <c r="Z33" s="63">
        <f t="shared" si="8"/>
        <v>-514.44227502295678</v>
      </c>
    </row>
    <row r="34" spans="1:26" x14ac:dyDescent="0.2">
      <c r="A34" s="42">
        <f>Gen!B40</f>
        <v>44560</v>
      </c>
      <c r="B34" s="66">
        <v>0</v>
      </c>
      <c r="C34" s="70">
        <f>Gen!C40</f>
        <v>0.61</v>
      </c>
      <c r="D34" s="349">
        <f t="shared" si="3"/>
        <v>13</v>
      </c>
      <c r="E34" s="337">
        <v>13</v>
      </c>
      <c r="F34" s="59">
        <f>Gen!V40</f>
        <v>0.42798363407469575</v>
      </c>
      <c r="G34" s="68">
        <f>Gen!U40</f>
        <v>4766</v>
      </c>
      <c r="H34" s="68">
        <v>0</v>
      </c>
      <c r="I34" s="68">
        <f t="shared" si="0"/>
        <v>4766</v>
      </c>
      <c r="J34" s="68">
        <v>33780.000000000029</v>
      </c>
      <c r="K34" s="58">
        <f>'Water-Meter'!E35</f>
        <v>102</v>
      </c>
      <c r="L34" s="361">
        <f>'Lpg (2)'!G39</f>
        <v>157.30000000000001</v>
      </c>
      <c r="M34" s="71" t="e">
        <f>#REF!</f>
        <v>#REF!</v>
      </c>
      <c r="N34" s="71" t="e">
        <f>#REF!</f>
        <v>#REF!</v>
      </c>
      <c r="O34" s="71" t="e">
        <f>#REF!</f>
        <v>#REF!</v>
      </c>
      <c r="P34" s="72">
        <f t="shared" si="1"/>
        <v>0.64961538461538515</v>
      </c>
      <c r="Q34" s="6">
        <f>I34*Q2</f>
        <v>10532145.1</v>
      </c>
      <c r="R34" s="62">
        <f t="shared" si="4"/>
        <v>511.46780788655786</v>
      </c>
      <c r="S34" s="353">
        <f t="shared" si="2"/>
        <v>511.46780788655786</v>
      </c>
      <c r="T34" s="62">
        <f t="shared" si="5"/>
        <v>6.5681818181818183</v>
      </c>
      <c r="U34" s="105">
        <f t="shared" si="6"/>
        <v>194.93680555555557</v>
      </c>
      <c r="V34" s="17">
        <f t="shared" si="7"/>
        <v>10532346.604987374</v>
      </c>
      <c r="W34" s="62">
        <f>SUM(V34/E34)/T2</f>
        <v>511.47759348229283</v>
      </c>
      <c r="X34">
        <f t="shared" si="9"/>
        <v>1584</v>
      </c>
      <c r="Y34" s="354">
        <v>106</v>
      </c>
      <c r="Z34" s="63">
        <f t="shared" si="8"/>
        <v>-405.46780788655786</v>
      </c>
    </row>
    <row r="35" spans="1:26" x14ac:dyDescent="0.2">
      <c r="A35" s="42">
        <f>Gen!B41</f>
        <v>44561</v>
      </c>
      <c r="B35" s="66">
        <v>0</v>
      </c>
      <c r="C35" s="70">
        <f>Gen!C41</f>
        <v>0.61</v>
      </c>
      <c r="D35" s="349">
        <f t="shared" si="3"/>
        <v>18</v>
      </c>
      <c r="E35" s="906">
        <v>18</v>
      </c>
      <c r="F35" s="59">
        <f>Gen!V41</f>
        <v>0.41520824199912321</v>
      </c>
      <c r="G35" s="68">
        <f>Gen!U41</f>
        <v>4562</v>
      </c>
      <c r="H35" s="68">
        <v>0</v>
      </c>
      <c r="I35" s="68">
        <f t="shared" si="0"/>
        <v>4562</v>
      </c>
      <c r="J35" s="68">
        <v>33780.000000000029</v>
      </c>
      <c r="K35" s="58">
        <f>'Water-Meter'!E36</f>
        <v>102</v>
      </c>
      <c r="L35" s="361">
        <f>'Lpg (2)'!G40</f>
        <v>163.02000000001283</v>
      </c>
      <c r="M35" s="71" t="e">
        <f>#REF!</f>
        <v>#REF!</v>
      </c>
      <c r="N35" s="71" t="e">
        <f>#REF!</f>
        <v>#REF!</v>
      </c>
      <c r="O35" s="71" t="e">
        <f>#REF!</f>
        <v>#REF!</v>
      </c>
      <c r="P35" s="72">
        <f t="shared" si="1"/>
        <v>0.64961538461538515</v>
      </c>
      <c r="Q35" s="6">
        <f>I35*Q2</f>
        <v>10081335.699999999</v>
      </c>
      <c r="R35" s="62">
        <f t="shared" si="4"/>
        <v>353.58220047699211</v>
      </c>
      <c r="S35" s="353">
        <f t="shared" si="2"/>
        <v>353.58220047699211</v>
      </c>
      <c r="T35" s="62">
        <f t="shared" si="5"/>
        <v>6.5681818181818183</v>
      </c>
      <c r="U35" s="105">
        <f t="shared" si="6"/>
        <v>202.02541666668256</v>
      </c>
      <c r="V35" s="17">
        <f t="shared" si="7"/>
        <v>10081544.293598484</v>
      </c>
      <c r="W35" s="62">
        <f>SUM(V35/E35)/T2</f>
        <v>353.58951647020496</v>
      </c>
      <c r="X35">
        <f t="shared" si="9"/>
        <v>1584</v>
      </c>
      <c r="Y35" s="354">
        <v>106</v>
      </c>
      <c r="Z35" s="63">
        <f t="shared" si="8"/>
        <v>-247.58220047699211</v>
      </c>
    </row>
    <row r="36" spans="1:26" x14ac:dyDescent="0.2">
      <c r="A36" s="43"/>
      <c r="B36" s="65"/>
      <c r="C36" s="60"/>
      <c r="D36" s="349">
        <f t="shared" si="3"/>
        <v>0</v>
      </c>
      <c r="E36" s="7"/>
      <c r="F36" s="60"/>
      <c r="G36" s="69"/>
      <c r="H36" s="69"/>
      <c r="I36" s="69"/>
      <c r="J36" s="69"/>
      <c r="K36" s="58">
        <f>'Water-Meter'!E37</f>
        <v>120</v>
      </c>
      <c r="L36" s="57"/>
      <c r="M36" s="69"/>
      <c r="N36" s="69"/>
      <c r="O36" s="69"/>
      <c r="P36" s="69"/>
      <c r="Q36" s="6">
        <f>I36*2057.79</f>
        <v>0</v>
      </c>
      <c r="R36" s="61"/>
      <c r="S36" s="61"/>
      <c r="T36" s="104"/>
      <c r="U36" s="106"/>
      <c r="V36" s="17">
        <f t="shared" si="7"/>
        <v>0</v>
      </c>
      <c r="W36" s="104"/>
    </row>
    <row r="37" spans="1:26" x14ac:dyDescent="0.2">
      <c r="K37" s="58">
        <f>'Water-Meter'!E38</f>
        <v>2480</v>
      </c>
      <c r="S37" s="63" t="e">
        <v>#REF!</v>
      </c>
    </row>
    <row r="38" spans="1:26" x14ac:dyDescent="0.2">
      <c r="B38" s="67" t="e">
        <v>#REF!</v>
      </c>
      <c r="M38">
        <f>0.5*2057.79</f>
        <v>1028.895</v>
      </c>
    </row>
    <row r="39" spans="1:26" x14ac:dyDescent="0.2">
      <c r="B39" s="67" t="e">
        <v>#REF!</v>
      </c>
      <c r="C39" s="67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331</v>
      </c>
      <c r="S39" s="63" t="e">
        <f>SUM(S37-Y35)</f>
        <v>#REF!</v>
      </c>
    </row>
    <row r="40" spans="1:26" x14ac:dyDescent="0.2">
      <c r="P40">
        <f>P39/K5</f>
        <v>1375.4734177215191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G89"/>
  <sheetViews>
    <sheetView topLeftCell="A49" workbookViewId="0">
      <selection activeCell="M78" sqref="M78"/>
    </sheetView>
  </sheetViews>
  <sheetFormatPr defaultRowHeight="12.75" x14ac:dyDescent="0.2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 x14ac:dyDescent="0.3">
      <c r="A1" s="1034" t="s">
        <v>332</v>
      </c>
      <c r="B1" s="1035"/>
      <c r="C1" s="1035"/>
      <c r="D1" s="1035"/>
      <c r="E1" s="1035"/>
      <c r="F1" s="1035"/>
      <c r="G1" s="1036"/>
    </row>
    <row r="2" spans="1:7" ht="13.5" thickBot="1" x14ac:dyDescent="0.25">
      <c r="A2" s="249"/>
      <c r="B2" s="1037" t="s">
        <v>333</v>
      </c>
      <c r="C2" s="1038"/>
      <c r="D2" s="1039"/>
      <c r="E2" s="1037" t="s">
        <v>334</v>
      </c>
      <c r="F2" s="1038"/>
      <c r="G2" s="1039"/>
    </row>
    <row r="3" spans="1:7" ht="40.5" customHeight="1" x14ac:dyDescent="0.2">
      <c r="A3" s="263" t="s">
        <v>227</v>
      </c>
      <c r="B3" s="264" t="s">
        <v>335</v>
      </c>
      <c r="C3" s="264" t="s">
        <v>336</v>
      </c>
      <c r="D3" s="264" t="s">
        <v>337</v>
      </c>
      <c r="E3" s="264" t="s">
        <v>335</v>
      </c>
      <c r="F3" s="264" t="s">
        <v>336</v>
      </c>
      <c r="G3" s="265" t="s">
        <v>337</v>
      </c>
    </row>
    <row r="4" spans="1:7" x14ac:dyDescent="0.2">
      <c r="A4" s="205">
        <v>43101</v>
      </c>
      <c r="B4" s="388">
        <v>46071</v>
      </c>
      <c r="C4" s="207">
        <v>48188</v>
      </c>
      <c r="D4" s="266">
        <v>2117</v>
      </c>
      <c r="E4" s="267">
        <v>216654</v>
      </c>
      <c r="F4" s="225">
        <v>218779</v>
      </c>
      <c r="G4" s="220">
        <v>2125</v>
      </c>
    </row>
    <row r="5" spans="1:7" x14ac:dyDescent="0.2">
      <c r="A5" s="205">
        <v>43132</v>
      </c>
      <c r="B5" s="388">
        <f t="shared" ref="B5:B68" si="0">C4</f>
        <v>48188</v>
      </c>
      <c r="C5" s="207">
        <v>50066</v>
      </c>
      <c r="D5" s="266">
        <f t="shared" ref="D5:D68" si="1">C5-B5</f>
        <v>1878</v>
      </c>
      <c r="E5" s="267">
        <f t="shared" ref="E5:E68" si="2">F4</f>
        <v>218779</v>
      </c>
      <c r="F5" s="225">
        <v>220744</v>
      </c>
      <c r="G5" s="220">
        <f t="shared" ref="G5:G68" si="3">F5-E5</f>
        <v>1965</v>
      </c>
    </row>
    <row r="6" spans="1:7" x14ac:dyDescent="0.2">
      <c r="A6" s="205">
        <v>43160</v>
      </c>
      <c r="B6" s="388">
        <f t="shared" si="0"/>
        <v>50066</v>
      </c>
      <c r="C6" s="207">
        <v>51916</v>
      </c>
      <c r="D6" s="266">
        <f t="shared" si="1"/>
        <v>1850</v>
      </c>
      <c r="E6" s="267">
        <f t="shared" si="2"/>
        <v>220744</v>
      </c>
      <c r="F6" s="225">
        <v>222873</v>
      </c>
      <c r="G6" s="220">
        <f t="shared" si="3"/>
        <v>2129</v>
      </c>
    </row>
    <row r="7" spans="1:7" x14ac:dyDescent="0.2">
      <c r="A7" s="205">
        <v>43191</v>
      </c>
      <c r="B7" s="388">
        <f t="shared" si="0"/>
        <v>51916</v>
      </c>
      <c r="C7" s="207">
        <v>53641</v>
      </c>
      <c r="D7" s="266">
        <f t="shared" si="1"/>
        <v>1725</v>
      </c>
      <c r="E7" s="267">
        <f t="shared" si="2"/>
        <v>222873</v>
      </c>
      <c r="F7" s="225">
        <v>224922</v>
      </c>
      <c r="G7" s="220">
        <f t="shared" si="3"/>
        <v>2049</v>
      </c>
    </row>
    <row r="8" spans="1:7" x14ac:dyDescent="0.2">
      <c r="A8" s="205">
        <v>43221</v>
      </c>
      <c r="B8" s="388">
        <f t="shared" si="0"/>
        <v>53641</v>
      </c>
      <c r="C8" s="207">
        <v>55409</v>
      </c>
      <c r="D8" s="266">
        <f t="shared" si="1"/>
        <v>1768</v>
      </c>
      <c r="E8" s="267">
        <f t="shared" si="2"/>
        <v>224922</v>
      </c>
      <c r="F8" s="225">
        <v>227063</v>
      </c>
      <c r="G8" s="220">
        <f t="shared" si="3"/>
        <v>2141</v>
      </c>
    </row>
    <row r="9" spans="1:7" x14ac:dyDescent="0.2">
      <c r="A9" s="205">
        <v>43252</v>
      </c>
      <c r="B9" s="388">
        <f t="shared" si="0"/>
        <v>55409</v>
      </c>
      <c r="C9" s="207">
        <v>57396</v>
      </c>
      <c r="D9" s="266">
        <f t="shared" si="1"/>
        <v>1987</v>
      </c>
      <c r="E9" s="267">
        <f t="shared" si="2"/>
        <v>227063</v>
      </c>
      <c r="F9" s="225">
        <v>229163</v>
      </c>
      <c r="G9" s="220">
        <f t="shared" si="3"/>
        <v>2100</v>
      </c>
    </row>
    <row r="10" spans="1:7" x14ac:dyDescent="0.2">
      <c r="A10" s="205">
        <v>43282</v>
      </c>
      <c r="B10" s="388">
        <f t="shared" si="0"/>
        <v>57396</v>
      </c>
      <c r="C10" s="207">
        <v>59391</v>
      </c>
      <c r="D10" s="266">
        <f t="shared" si="1"/>
        <v>1995</v>
      </c>
      <c r="E10" s="267">
        <f t="shared" si="2"/>
        <v>229163</v>
      </c>
      <c r="F10" s="225">
        <v>231359</v>
      </c>
      <c r="G10" s="220">
        <f t="shared" si="3"/>
        <v>2196</v>
      </c>
    </row>
    <row r="11" spans="1:7" x14ac:dyDescent="0.2">
      <c r="A11" s="205">
        <v>43313</v>
      </c>
      <c r="B11" s="388">
        <f t="shared" si="0"/>
        <v>59391</v>
      </c>
      <c r="C11" s="207">
        <v>61427</v>
      </c>
      <c r="D11" s="266">
        <f t="shared" si="1"/>
        <v>2036</v>
      </c>
      <c r="E11" s="267">
        <f t="shared" si="2"/>
        <v>231359</v>
      </c>
      <c r="F11" s="225">
        <v>233548</v>
      </c>
      <c r="G11" s="220">
        <f t="shared" si="3"/>
        <v>2189</v>
      </c>
    </row>
    <row r="12" spans="1:7" x14ac:dyDescent="0.2">
      <c r="A12" s="205">
        <v>43344</v>
      </c>
      <c r="B12" s="388">
        <f t="shared" si="0"/>
        <v>61427</v>
      </c>
      <c r="C12" s="207">
        <v>63464</v>
      </c>
      <c r="D12" s="266">
        <f t="shared" si="1"/>
        <v>2037</v>
      </c>
      <c r="E12" s="267">
        <f t="shared" si="2"/>
        <v>233548</v>
      </c>
      <c r="F12" s="225">
        <v>235653</v>
      </c>
      <c r="G12" s="220">
        <f t="shared" si="3"/>
        <v>2105</v>
      </c>
    </row>
    <row r="13" spans="1:7" x14ac:dyDescent="0.2">
      <c r="A13" s="205">
        <v>43374</v>
      </c>
      <c r="B13" s="388">
        <f t="shared" si="0"/>
        <v>63464</v>
      </c>
      <c r="C13" s="207">
        <v>65577</v>
      </c>
      <c r="D13" s="266">
        <f t="shared" si="1"/>
        <v>2113</v>
      </c>
      <c r="E13" s="267">
        <f t="shared" si="2"/>
        <v>235653</v>
      </c>
      <c r="F13" s="225">
        <v>237802</v>
      </c>
      <c r="G13" s="220">
        <f t="shared" si="3"/>
        <v>2149</v>
      </c>
    </row>
    <row r="14" spans="1:7" x14ac:dyDescent="0.2">
      <c r="A14" s="205">
        <v>43405</v>
      </c>
      <c r="B14" s="388">
        <f t="shared" si="0"/>
        <v>65577</v>
      </c>
      <c r="C14" s="207">
        <v>67714</v>
      </c>
      <c r="D14" s="266">
        <f t="shared" si="1"/>
        <v>2137</v>
      </c>
      <c r="E14" s="267">
        <f t="shared" si="2"/>
        <v>237802</v>
      </c>
      <c r="F14" s="225">
        <v>239883</v>
      </c>
      <c r="G14" s="220">
        <f t="shared" si="3"/>
        <v>2081</v>
      </c>
    </row>
    <row r="15" spans="1:7" x14ac:dyDescent="0.2">
      <c r="A15" s="205">
        <v>43435</v>
      </c>
      <c r="B15" s="388">
        <f t="shared" si="0"/>
        <v>67714</v>
      </c>
      <c r="C15" s="207">
        <v>69886</v>
      </c>
      <c r="D15" s="266">
        <f t="shared" si="1"/>
        <v>2172</v>
      </c>
      <c r="E15" s="267">
        <f t="shared" si="2"/>
        <v>239883</v>
      </c>
      <c r="F15" s="225">
        <v>242023</v>
      </c>
      <c r="G15" s="220">
        <f t="shared" si="3"/>
        <v>2140</v>
      </c>
    </row>
    <row r="16" spans="1:7" x14ac:dyDescent="0.2">
      <c r="A16" s="205">
        <v>43466</v>
      </c>
      <c r="B16" s="388">
        <f t="shared" si="0"/>
        <v>69886</v>
      </c>
      <c r="C16" s="207">
        <v>72120</v>
      </c>
      <c r="D16" s="266">
        <f t="shared" si="1"/>
        <v>2234</v>
      </c>
      <c r="E16" s="267">
        <f t="shared" si="2"/>
        <v>242023</v>
      </c>
      <c r="F16" s="225">
        <v>244252</v>
      </c>
      <c r="G16" s="220">
        <f t="shared" si="3"/>
        <v>2229</v>
      </c>
    </row>
    <row r="17" spans="1:7" x14ac:dyDescent="0.2">
      <c r="A17" s="205">
        <v>43497</v>
      </c>
      <c r="B17" s="388">
        <f t="shared" si="0"/>
        <v>72120</v>
      </c>
      <c r="C17" s="207">
        <v>74132</v>
      </c>
      <c r="D17" s="266">
        <f t="shared" si="1"/>
        <v>2012</v>
      </c>
      <c r="E17" s="267">
        <f t="shared" si="2"/>
        <v>244252</v>
      </c>
      <c r="F17" s="225">
        <v>246272</v>
      </c>
      <c r="G17" s="220">
        <f t="shared" si="3"/>
        <v>2020</v>
      </c>
    </row>
    <row r="18" spans="1:7" x14ac:dyDescent="0.2">
      <c r="A18" s="205">
        <v>43525</v>
      </c>
      <c r="B18" s="388">
        <f t="shared" si="0"/>
        <v>74132</v>
      </c>
      <c r="C18" s="207">
        <v>76130</v>
      </c>
      <c r="D18" s="266">
        <f t="shared" si="1"/>
        <v>1998</v>
      </c>
      <c r="E18" s="267">
        <f t="shared" si="2"/>
        <v>246272</v>
      </c>
      <c r="F18" s="225">
        <v>248562</v>
      </c>
      <c r="G18" s="220">
        <f t="shared" si="3"/>
        <v>2290</v>
      </c>
    </row>
    <row r="19" spans="1:7" x14ac:dyDescent="0.2">
      <c r="A19" s="205">
        <v>43556</v>
      </c>
      <c r="B19" s="388">
        <f t="shared" si="0"/>
        <v>76130</v>
      </c>
      <c r="C19" s="207">
        <v>77859</v>
      </c>
      <c r="D19" s="266">
        <f t="shared" si="1"/>
        <v>1729</v>
      </c>
      <c r="E19" s="267">
        <f t="shared" si="2"/>
        <v>248562</v>
      </c>
      <c r="F19" s="225">
        <v>250789</v>
      </c>
      <c r="G19" s="220">
        <f t="shared" si="3"/>
        <v>2227</v>
      </c>
    </row>
    <row r="20" spans="1:7" x14ac:dyDescent="0.2">
      <c r="A20" s="205">
        <v>43586</v>
      </c>
      <c r="B20" s="388">
        <f t="shared" si="0"/>
        <v>77859</v>
      </c>
      <c r="C20" s="207">
        <v>79636</v>
      </c>
      <c r="D20" s="266">
        <f t="shared" si="1"/>
        <v>1777</v>
      </c>
      <c r="E20" s="267">
        <f t="shared" si="2"/>
        <v>250789</v>
      </c>
      <c r="F20" s="225">
        <v>252878</v>
      </c>
      <c r="G20" s="220">
        <f t="shared" si="3"/>
        <v>2089</v>
      </c>
    </row>
    <row r="21" spans="1:7" x14ac:dyDescent="0.2">
      <c r="A21" s="205">
        <v>43617</v>
      </c>
      <c r="B21" s="388">
        <f t="shared" si="0"/>
        <v>79636</v>
      </c>
      <c r="C21" s="207">
        <v>81603</v>
      </c>
      <c r="D21" s="266">
        <f t="shared" si="1"/>
        <v>1967</v>
      </c>
      <c r="E21" s="267">
        <f t="shared" si="2"/>
        <v>252878</v>
      </c>
      <c r="F21" s="225">
        <v>254783</v>
      </c>
      <c r="G21" s="220">
        <f t="shared" si="3"/>
        <v>1905</v>
      </c>
    </row>
    <row r="22" spans="1:7" x14ac:dyDescent="0.2">
      <c r="A22" s="205">
        <v>43647</v>
      </c>
      <c r="B22" s="388">
        <f t="shared" si="0"/>
        <v>81603</v>
      </c>
      <c r="C22" s="207">
        <v>83511</v>
      </c>
      <c r="D22" s="266">
        <f t="shared" si="1"/>
        <v>1908</v>
      </c>
      <c r="E22" s="267">
        <f t="shared" si="2"/>
        <v>254783</v>
      </c>
      <c r="F22" s="207">
        <v>257138</v>
      </c>
      <c r="G22" s="220">
        <f t="shared" si="3"/>
        <v>2355</v>
      </c>
    </row>
    <row r="23" spans="1:7" x14ac:dyDescent="0.2">
      <c r="A23" s="205">
        <v>43678</v>
      </c>
      <c r="B23" s="388">
        <f t="shared" si="0"/>
        <v>83511</v>
      </c>
      <c r="C23" s="207">
        <v>85418</v>
      </c>
      <c r="D23" s="266">
        <f t="shared" si="1"/>
        <v>1907</v>
      </c>
      <c r="E23" s="267">
        <f t="shared" si="2"/>
        <v>257138</v>
      </c>
      <c r="F23" s="207">
        <v>259453</v>
      </c>
      <c r="G23" s="220">
        <f t="shared" si="3"/>
        <v>2315</v>
      </c>
    </row>
    <row r="24" spans="1:7" x14ac:dyDescent="0.2">
      <c r="A24" s="205">
        <v>43709</v>
      </c>
      <c r="B24" s="388">
        <f t="shared" si="0"/>
        <v>85418</v>
      </c>
      <c r="C24" s="207">
        <v>87262</v>
      </c>
      <c r="D24" s="266">
        <f t="shared" si="1"/>
        <v>1844</v>
      </c>
      <c r="E24" s="267">
        <f t="shared" si="2"/>
        <v>259453</v>
      </c>
      <c r="F24" s="207">
        <v>261652</v>
      </c>
      <c r="G24" s="220">
        <f t="shared" si="3"/>
        <v>2199</v>
      </c>
    </row>
    <row r="25" spans="1:7" x14ac:dyDescent="0.2">
      <c r="A25" s="205">
        <v>43739</v>
      </c>
      <c r="B25" s="388">
        <f t="shared" si="0"/>
        <v>87262</v>
      </c>
      <c r="C25" s="207">
        <v>89489</v>
      </c>
      <c r="D25" s="266">
        <f t="shared" si="1"/>
        <v>2227</v>
      </c>
      <c r="E25" s="267">
        <f t="shared" si="2"/>
        <v>261652</v>
      </c>
      <c r="F25" s="207">
        <v>263905</v>
      </c>
      <c r="G25" s="220">
        <f t="shared" si="3"/>
        <v>2253</v>
      </c>
    </row>
    <row r="26" spans="1:7" x14ac:dyDescent="0.2">
      <c r="A26" s="205">
        <v>43770</v>
      </c>
      <c r="B26" s="388">
        <f t="shared" si="0"/>
        <v>89489</v>
      </c>
      <c r="C26" s="207">
        <v>91615</v>
      </c>
      <c r="D26" s="266">
        <f t="shared" si="1"/>
        <v>2126</v>
      </c>
      <c r="E26" s="267">
        <f t="shared" si="2"/>
        <v>263905</v>
      </c>
      <c r="F26" s="207">
        <v>265969</v>
      </c>
      <c r="G26" s="220">
        <f t="shared" si="3"/>
        <v>2064</v>
      </c>
    </row>
    <row r="27" spans="1:7" x14ac:dyDescent="0.2">
      <c r="A27" s="205">
        <v>43800</v>
      </c>
      <c r="B27" s="388">
        <f t="shared" si="0"/>
        <v>91615</v>
      </c>
      <c r="C27" s="207">
        <v>93828</v>
      </c>
      <c r="D27" s="266">
        <f t="shared" si="1"/>
        <v>2213</v>
      </c>
      <c r="E27" s="267">
        <f t="shared" si="2"/>
        <v>265969</v>
      </c>
      <c r="F27" s="207">
        <v>268212</v>
      </c>
      <c r="G27" s="220">
        <f t="shared" si="3"/>
        <v>2243</v>
      </c>
    </row>
    <row r="28" spans="1:7" x14ac:dyDescent="0.2">
      <c r="A28" s="205">
        <v>43831</v>
      </c>
      <c r="B28" s="388">
        <f t="shared" si="0"/>
        <v>93828</v>
      </c>
      <c r="C28" s="207">
        <v>95998</v>
      </c>
      <c r="D28" s="266">
        <f t="shared" si="1"/>
        <v>2170</v>
      </c>
      <c r="E28" s="267">
        <f t="shared" si="2"/>
        <v>268212</v>
      </c>
      <c r="F28" s="207">
        <v>270443</v>
      </c>
      <c r="G28" s="220">
        <f t="shared" si="3"/>
        <v>2231</v>
      </c>
    </row>
    <row r="29" spans="1:7" x14ac:dyDescent="0.2">
      <c r="A29" s="205">
        <v>43862</v>
      </c>
      <c r="B29" s="388">
        <f t="shared" si="0"/>
        <v>95998</v>
      </c>
      <c r="C29" s="207">
        <v>98070</v>
      </c>
      <c r="D29" s="266">
        <f t="shared" si="1"/>
        <v>2072</v>
      </c>
      <c r="E29" s="267">
        <f t="shared" si="2"/>
        <v>270443</v>
      </c>
      <c r="F29" s="207">
        <v>272554</v>
      </c>
      <c r="G29" s="220">
        <f t="shared" si="3"/>
        <v>2111</v>
      </c>
    </row>
    <row r="30" spans="1:7" x14ac:dyDescent="0.2">
      <c r="A30" s="205">
        <v>43891</v>
      </c>
      <c r="B30" s="388">
        <f t="shared" si="0"/>
        <v>98070</v>
      </c>
      <c r="C30" s="207">
        <v>100381</v>
      </c>
      <c r="D30" s="266">
        <f t="shared" si="1"/>
        <v>2311</v>
      </c>
      <c r="E30" s="267">
        <f t="shared" si="2"/>
        <v>272554</v>
      </c>
      <c r="F30" s="207">
        <v>274788</v>
      </c>
      <c r="G30" s="220">
        <f t="shared" si="3"/>
        <v>2234</v>
      </c>
    </row>
    <row r="31" spans="1:7" x14ac:dyDescent="0.2">
      <c r="A31" s="205">
        <v>43922</v>
      </c>
      <c r="B31" s="388">
        <f t="shared" si="0"/>
        <v>100381</v>
      </c>
      <c r="C31" s="207">
        <v>102607</v>
      </c>
      <c r="D31" s="266">
        <f t="shared" si="1"/>
        <v>2226</v>
      </c>
      <c r="E31" s="267">
        <f t="shared" si="2"/>
        <v>274788</v>
      </c>
      <c r="F31" s="207">
        <v>276874</v>
      </c>
      <c r="G31" s="220">
        <f t="shared" si="3"/>
        <v>2086</v>
      </c>
    </row>
    <row r="32" spans="1:7" x14ac:dyDescent="0.2">
      <c r="A32" s="205">
        <v>43952</v>
      </c>
      <c r="B32" s="388">
        <f t="shared" si="0"/>
        <v>102607</v>
      </c>
      <c r="C32" s="207">
        <v>104898</v>
      </c>
      <c r="D32" s="266">
        <f t="shared" si="1"/>
        <v>2291</v>
      </c>
      <c r="E32" s="267">
        <f t="shared" si="2"/>
        <v>276874</v>
      </c>
      <c r="F32" s="207">
        <v>279093</v>
      </c>
      <c r="G32" s="220">
        <f t="shared" si="3"/>
        <v>2219</v>
      </c>
    </row>
    <row r="33" spans="1:7" x14ac:dyDescent="0.2">
      <c r="A33" s="205">
        <v>43983</v>
      </c>
      <c r="B33" s="388">
        <f t="shared" si="0"/>
        <v>104898</v>
      </c>
      <c r="C33" s="207">
        <v>107117</v>
      </c>
      <c r="D33" s="266">
        <f t="shared" si="1"/>
        <v>2219</v>
      </c>
      <c r="E33" s="267">
        <f t="shared" si="2"/>
        <v>279093</v>
      </c>
      <c r="F33" s="207">
        <v>281240</v>
      </c>
      <c r="G33" s="220">
        <f t="shared" si="3"/>
        <v>2147</v>
      </c>
    </row>
    <row r="34" spans="1:7" x14ac:dyDescent="0.2">
      <c r="A34" s="205">
        <v>44013</v>
      </c>
      <c r="B34" s="388">
        <f t="shared" si="0"/>
        <v>107117</v>
      </c>
      <c r="C34" s="207">
        <v>109400</v>
      </c>
      <c r="D34" s="266">
        <f t="shared" si="1"/>
        <v>2283</v>
      </c>
      <c r="E34" s="267">
        <f t="shared" si="2"/>
        <v>281240</v>
      </c>
      <c r="F34" s="207">
        <v>283452</v>
      </c>
      <c r="G34" s="220">
        <f t="shared" si="3"/>
        <v>2212</v>
      </c>
    </row>
    <row r="35" spans="1:7" x14ac:dyDescent="0.2">
      <c r="A35" s="205">
        <v>44044</v>
      </c>
      <c r="B35" s="388">
        <f t="shared" si="0"/>
        <v>109400</v>
      </c>
      <c r="C35" s="207">
        <v>111576</v>
      </c>
      <c r="D35" s="266">
        <f t="shared" si="1"/>
        <v>2176</v>
      </c>
      <c r="E35" s="267">
        <f t="shared" si="2"/>
        <v>283452</v>
      </c>
      <c r="F35" s="207">
        <v>285683</v>
      </c>
      <c r="G35" s="220">
        <f t="shared" si="3"/>
        <v>2231</v>
      </c>
    </row>
    <row r="36" spans="1:7" x14ac:dyDescent="0.2">
      <c r="A36" s="205">
        <v>44075</v>
      </c>
      <c r="B36" s="388">
        <f t="shared" si="0"/>
        <v>111576</v>
      </c>
      <c r="C36" s="207">
        <v>113681</v>
      </c>
      <c r="D36" s="266">
        <f t="shared" si="1"/>
        <v>2105</v>
      </c>
      <c r="E36" s="267">
        <f t="shared" si="2"/>
        <v>285683</v>
      </c>
      <c r="F36" s="207">
        <v>287829</v>
      </c>
      <c r="G36" s="220">
        <f t="shared" si="3"/>
        <v>2146</v>
      </c>
    </row>
    <row r="37" spans="1:7" x14ac:dyDescent="0.2">
      <c r="A37" s="205">
        <v>44105</v>
      </c>
      <c r="B37" s="388">
        <f t="shared" si="0"/>
        <v>113681</v>
      </c>
      <c r="C37" s="207">
        <v>115884</v>
      </c>
      <c r="D37" s="266">
        <f t="shared" si="1"/>
        <v>2203</v>
      </c>
      <c r="E37" s="267">
        <f t="shared" si="2"/>
        <v>287829</v>
      </c>
      <c r="F37" s="207">
        <v>290035</v>
      </c>
      <c r="G37" s="220">
        <f t="shared" si="3"/>
        <v>2206</v>
      </c>
    </row>
    <row r="38" spans="1:7" x14ac:dyDescent="0.2">
      <c r="A38" s="205">
        <v>44136</v>
      </c>
      <c r="B38" s="388">
        <f t="shared" si="0"/>
        <v>115884</v>
      </c>
      <c r="C38" s="207">
        <v>117878</v>
      </c>
      <c r="D38" s="266">
        <f t="shared" si="1"/>
        <v>1994</v>
      </c>
      <c r="E38" s="267">
        <f t="shared" si="2"/>
        <v>290035</v>
      </c>
      <c r="F38" s="207">
        <v>292096</v>
      </c>
      <c r="G38" s="220">
        <f t="shared" si="3"/>
        <v>2061</v>
      </c>
    </row>
    <row r="39" spans="1:7" x14ac:dyDescent="0.2">
      <c r="A39" s="205">
        <v>44166</v>
      </c>
      <c r="B39" s="388">
        <f t="shared" si="0"/>
        <v>117878</v>
      </c>
      <c r="C39" s="207">
        <v>120013</v>
      </c>
      <c r="D39" s="266">
        <f t="shared" si="1"/>
        <v>2135</v>
      </c>
      <c r="E39" s="267">
        <f t="shared" si="2"/>
        <v>292096</v>
      </c>
      <c r="F39" s="207">
        <v>294243</v>
      </c>
      <c r="G39" s="220">
        <f t="shared" si="3"/>
        <v>2147</v>
      </c>
    </row>
    <row r="40" spans="1:7" x14ac:dyDescent="0.2">
      <c r="A40" s="205">
        <v>44197</v>
      </c>
      <c r="B40" s="388">
        <f t="shared" si="0"/>
        <v>120013</v>
      </c>
      <c r="C40" s="207">
        <v>122116</v>
      </c>
      <c r="D40" s="266">
        <f t="shared" si="1"/>
        <v>2103</v>
      </c>
      <c r="E40" s="267">
        <f t="shared" si="2"/>
        <v>294243</v>
      </c>
      <c r="F40" s="207">
        <v>296404</v>
      </c>
      <c r="G40" s="220">
        <f t="shared" si="3"/>
        <v>2161</v>
      </c>
    </row>
    <row r="41" spans="1:7" x14ac:dyDescent="0.2">
      <c r="A41" s="205">
        <v>44228</v>
      </c>
      <c r="B41" s="388">
        <f t="shared" si="0"/>
        <v>122116</v>
      </c>
      <c r="C41" s="207">
        <v>124084</v>
      </c>
      <c r="D41" s="266">
        <f t="shared" si="1"/>
        <v>1968</v>
      </c>
      <c r="E41" s="267">
        <f t="shared" si="2"/>
        <v>296404</v>
      </c>
      <c r="F41" s="207">
        <v>298355</v>
      </c>
      <c r="G41" s="220">
        <f t="shared" si="3"/>
        <v>1951</v>
      </c>
    </row>
    <row r="42" spans="1:7" x14ac:dyDescent="0.2">
      <c r="A42" s="205">
        <v>44256</v>
      </c>
      <c r="B42" s="388">
        <f t="shared" si="0"/>
        <v>124084</v>
      </c>
      <c r="C42" s="325">
        <v>126278</v>
      </c>
      <c r="D42" s="266">
        <f t="shared" si="1"/>
        <v>2194</v>
      </c>
      <c r="E42" s="267">
        <f t="shared" si="2"/>
        <v>298355</v>
      </c>
      <c r="F42" s="325">
        <v>300336</v>
      </c>
      <c r="G42" s="220">
        <f t="shared" si="3"/>
        <v>1981</v>
      </c>
    </row>
    <row r="43" spans="1:7" x14ac:dyDescent="0.2">
      <c r="A43" s="205">
        <v>44287</v>
      </c>
      <c r="B43" s="388">
        <f t="shared" si="0"/>
        <v>126278</v>
      </c>
      <c r="C43" s="325">
        <v>128390</v>
      </c>
      <c r="D43" s="266">
        <f t="shared" si="1"/>
        <v>2112</v>
      </c>
      <c r="E43" s="267">
        <f t="shared" si="2"/>
        <v>300336</v>
      </c>
      <c r="F43" s="325">
        <v>302366</v>
      </c>
      <c r="G43" s="220">
        <f t="shared" si="3"/>
        <v>2030</v>
      </c>
    </row>
    <row r="44" spans="1:7" x14ac:dyDescent="0.2">
      <c r="A44" s="205">
        <v>44317</v>
      </c>
      <c r="B44" s="388">
        <f t="shared" si="0"/>
        <v>128390</v>
      </c>
      <c r="C44" s="325">
        <v>130576</v>
      </c>
      <c r="D44" s="266">
        <f t="shared" si="1"/>
        <v>2186</v>
      </c>
      <c r="E44" s="267">
        <f t="shared" si="2"/>
        <v>302366</v>
      </c>
      <c r="F44" s="325">
        <v>304389</v>
      </c>
      <c r="G44" s="220">
        <f t="shared" si="3"/>
        <v>2023</v>
      </c>
    </row>
    <row r="45" spans="1:7" x14ac:dyDescent="0.2">
      <c r="A45" s="205">
        <v>44348</v>
      </c>
      <c r="B45" s="388">
        <f t="shared" si="0"/>
        <v>130576</v>
      </c>
      <c r="C45" s="325">
        <v>132621</v>
      </c>
      <c r="D45" s="266">
        <f t="shared" si="1"/>
        <v>2045</v>
      </c>
      <c r="E45" s="267">
        <f t="shared" si="2"/>
        <v>304389</v>
      </c>
      <c r="F45" s="325">
        <v>306282</v>
      </c>
      <c r="G45" s="220">
        <f t="shared" si="3"/>
        <v>1893</v>
      </c>
    </row>
    <row r="46" spans="1:7" x14ac:dyDescent="0.2">
      <c r="A46" s="205">
        <v>44378</v>
      </c>
      <c r="B46" s="388">
        <f t="shared" si="0"/>
        <v>132621</v>
      </c>
      <c r="C46" s="325">
        <v>134729</v>
      </c>
      <c r="D46" s="266">
        <f t="shared" si="1"/>
        <v>2108</v>
      </c>
      <c r="E46" s="267">
        <f t="shared" si="2"/>
        <v>306282</v>
      </c>
      <c r="F46" s="325">
        <v>308345</v>
      </c>
      <c r="G46" s="220">
        <f t="shared" si="3"/>
        <v>2063</v>
      </c>
    </row>
    <row r="47" spans="1:7" x14ac:dyDescent="0.2">
      <c r="A47" s="205">
        <v>44409</v>
      </c>
      <c r="B47" s="388">
        <f t="shared" si="0"/>
        <v>134729</v>
      </c>
      <c r="C47" s="325">
        <v>136855</v>
      </c>
      <c r="D47" s="266">
        <f t="shared" si="1"/>
        <v>2126</v>
      </c>
      <c r="E47" s="267">
        <f t="shared" si="2"/>
        <v>308345</v>
      </c>
      <c r="F47" s="325">
        <v>310439</v>
      </c>
      <c r="G47" s="220">
        <f t="shared" si="3"/>
        <v>2094</v>
      </c>
    </row>
    <row r="48" spans="1:7" x14ac:dyDescent="0.2">
      <c r="A48" s="205">
        <v>44440</v>
      </c>
      <c r="B48" s="388">
        <f t="shared" si="0"/>
        <v>136855</v>
      </c>
      <c r="C48" s="325">
        <v>138919</v>
      </c>
      <c r="D48" s="266">
        <f t="shared" si="1"/>
        <v>2064</v>
      </c>
      <c r="E48" s="267">
        <f t="shared" si="2"/>
        <v>310439</v>
      </c>
      <c r="F48" s="325">
        <v>312148</v>
      </c>
      <c r="G48" s="220">
        <f t="shared" si="3"/>
        <v>1709</v>
      </c>
    </row>
    <row r="49" spans="1:7" x14ac:dyDescent="0.2">
      <c r="A49" s="205">
        <v>44470</v>
      </c>
      <c r="B49" s="388">
        <f t="shared" si="0"/>
        <v>138919</v>
      </c>
      <c r="C49" s="325">
        <v>141022</v>
      </c>
      <c r="D49" s="266">
        <f t="shared" si="1"/>
        <v>2103</v>
      </c>
      <c r="E49" s="267">
        <f t="shared" si="2"/>
        <v>312148</v>
      </c>
      <c r="F49" s="325">
        <v>314267</v>
      </c>
      <c r="G49" s="220">
        <f t="shared" si="3"/>
        <v>2119</v>
      </c>
    </row>
    <row r="50" spans="1:7" x14ac:dyDescent="0.2">
      <c r="A50" s="205">
        <v>44501</v>
      </c>
      <c r="B50" s="388">
        <f t="shared" si="0"/>
        <v>141022</v>
      </c>
      <c r="C50" s="207">
        <v>143031</v>
      </c>
      <c r="D50" s="266">
        <f t="shared" si="1"/>
        <v>2009</v>
      </c>
      <c r="E50" s="267">
        <f t="shared" si="2"/>
        <v>314267</v>
      </c>
      <c r="F50" s="207">
        <v>316380</v>
      </c>
      <c r="G50" s="220">
        <f t="shared" si="3"/>
        <v>2113</v>
      </c>
    </row>
    <row r="51" spans="1:7" x14ac:dyDescent="0.2">
      <c r="A51" s="205">
        <v>44531</v>
      </c>
      <c r="B51" s="388">
        <f t="shared" si="0"/>
        <v>143031</v>
      </c>
      <c r="C51" s="207">
        <v>145144</v>
      </c>
      <c r="D51" s="266">
        <f t="shared" si="1"/>
        <v>2113</v>
      </c>
      <c r="E51" s="267">
        <f t="shared" si="2"/>
        <v>316380</v>
      </c>
      <c r="F51" s="207">
        <v>318576</v>
      </c>
      <c r="G51" s="220">
        <f t="shared" si="3"/>
        <v>2196</v>
      </c>
    </row>
    <row r="52" spans="1:7" x14ac:dyDescent="0.2">
      <c r="A52" s="205">
        <v>44562</v>
      </c>
      <c r="B52" s="388">
        <f t="shared" si="0"/>
        <v>145144</v>
      </c>
      <c r="C52" s="207"/>
      <c r="D52" s="266">
        <f t="shared" si="1"/>
        <v>-145144</v>
      </c>
      <c r="E52" s="267">
        <f t="shared" si="2"/>
        <v>318576</v>
      </c>
      <c r="F52" s="6"/>
      <c r="G52" s="220">
        <f t="shared" si="3"/>
        <v>-318576</v>
      </c>
    </row>
    <row r="53" spans="1:7" x14ac:dyDescent="0.2">
      <c r="A53" s="205">
        <v>44593</v>
      </c>
      <c r="B53" s="388">
        <f t="shared" si="0"/>
        <v>0</v>
      </c>
      <c r="C53" s="6"/>
      <c r="D53" s="266">
        <f t="shared" si="1"/>
        <v>0</v>
      </c>
      <c r="E53" s="267">
        <f t="shared" si="2"/>
        <v>0</v>
      </c>
      <c r="F53" s="6"/>
      <c r="G53" s="220">
        <f t="shared" si="3"/>
        <v>0</v>
      </c>
    </row>
    <row r="54" spans="1:7" x14ac:dyDescent="0.2">
      <c r="A54" s="205">
        <v>44621</v>
      </c>
      <c r="B54" s="388">
        <f t="shared" si="0"/>
        <v>0</v>
      </c>
      <c r="C54" s="6"/>
      <c r="D54" s="266">
        <f t="shared" si="1"/>
        <v>0</v>
      </c>
      <c r="E54" s="267">
        <f t="shared" si="2"/>
        <v>0</v>
      </c>
      <c r="F54" s="6"/>
      <c r="G54" s="220">
        <f t="shared" si="3"/>
        <v>0</v>
      </c>
    </row>
    <row r="55" spans="1:7" x14ac:dyDescent="0.2">
      <c r="A55" s="205">
        <v>44652</v>
      </c>
      <c r="B55" s="388">
        <f t="shared" si="0"/>
        <v>0</v>
      </c>
      <c r="C55" s="6"/>
      <c r="D55" s="266">
        <f t="shared" si="1"/>
        <v>0</v>
      </c>
      <c r="E55" s="267">
        <f t="shared" si="2"/>
        <v>0</v>
      </c>
      <c r="F55" s="6"/>
      <c r="G55" s="220">
        <f t="shared" si="3"/>
        <v>0</v>
      </c>
    </row>
    <row r="56" spans="1:7" x14ac:dyDescent="0.2">
      <c r="A56" s="205">
        <v>44682</v>
      </c>
      <c r="B56" s="388">
        <f t="shared" si="0"/>
        <v>0</v>
      </c>
      <c r="C56" s="6"/>
      <c r="D56" s="266">
        <f t="shared" si="1"/>
        <v>0</v>
      </c>
      <c r="E56" s="267">
        <f t="shared" si="2"/>
        <v>0</v>
      </c>
      <c r="F56" s="6"/>
      <c r="G56" s="220">
        <f t="shared" si="3"/>
        <v>0</v>
      </c>
    </row>
    <row r="57" spans="1:7" x14ac:dyDescent="0.2">
      <c r="A57" s="205">
        <v>44713</v>
      </c>
      <c r="B57" s="388">
        <f t="shared" si="0"/>
        <v>0</v>
      </c>
      <c r="C57" s="6"/>
      <c r="D57" s="266">
        <f t="shared" si="1"/>
        <v>0</v>
      </c>
      <c r="E57" s="267">
        <f t="shared" si="2"/>
        <v>0</v>
      </c>
      <c r="F57" s="6"/>
      <c r="G57" s="220">
        <f t="shared" si="3"/>
        <v>0</v>
      </c>
    </row>
    <row r="58" spans="1:7" x14ac:dyDescent="0.2">
      <c r="A58" s="205">
        <v>44743</v>
      </c>
      <c r="B58" s="388">
        <f t="shared" si="0"/>
        <v>0</v>
      </c>
      <c r="C58" s="6"/>
      <c r="D58" s="266">
        <f t="shared" si="1"/>
        <v>0</v>
      </c>
      <c r="E58" s="267">
        <f t="shared" si="2"/>
        <v>0</v>
      </c>
      <c r="F58" s="6"/>
      <c r="G58" s="220">
        <f t="shared" si="3"/>
        <v>0</v>
      </c>
    </row>
    <row r="59" spans="1:7" x14ac:dyDescent="0.2">
      <c r="A59" s="205">
        <v>44774</v>
      </c>
      <c r="B59" s="388">
        <f t="shared" si="0"/>
        <v>0</v>
      </c>
      <c r="C59" s="6"/>
      <c r="D59" s="266">
        <f t="shared" si="1"/>
        <v>0</v>
      </c>
      <c r="E59" s="267">
        <f t="shared" si="2"/>
        <v>0</v>
      </c>
      <c r="F59" s="6"/>
      <c r="G59" s="220">
        <f t="shared" si="3"/>
        <v>0</v>
      </c>
    </row>
    <row r="60" spans="1:7" x14ac:dyDescent="0.2">
      <c r="A60" s="205">
        <v>44805</v>
      </c>
      <c r="B60" s="388">
        <f t="shared" si="0"/>
        <v>0</v>
      </c>
      <c r="C60" s="6"/>
      <c r="D60" s="266">
        <f t="shared" si="1"/>
        <v>0</v>
      </c>
      <c r="E60" s="267">
        <f t="shared" si="2"/>
        <v>0</v>
      </c>
      <c r="F60" s="6"/>
      <c r="G60" s="220">
        <f t="shared" si="3"/>
        <v>0</v>
      </c>
    </row>
    <row r="61" spans="1:7" x14ac:dyDescent="0.2">
      <c r="A61" s="205">
        <v>44835</v>
      </c>
      <c r="B61" s="388">
        <f t="shared" si="0"/>
        <v>0</v>
      </c>
      <c r="C61" s="6"/>
      <c r="D61" s="266">
        <f t="shared" si="1"/>
        <v>0</v>
      </c>
      <c r="E61" s="267">
        <f t="shared" si="2"/>
        <v>0</v>
      </c>
      <c r="F61" s="6"/>
      <c r="G61" s="220">
        <f t="shared" si="3"/>
        <v>0</v>
      </c>
    </row>
    <row r="62" spans="1:7" x14ac:dyDescent="0.2">
      <c r="A62" s="205">
        <v>44866</v>
      </c>
      <c r="B62" s="388">
        <f t="shared" si="0"/>
        <v>0</v>
      </c>
      <c r="C62" s="6"/>
      <c r="D62" s="266">
        <f t="shared" si="1"/>
        <v>0</v>
      </c>
      <c r="E62" s="267">
        <f t="shared" si="2"/>
        <v>0</v>
      </c>
      <c r="F62" s="6"/>
      <c r="G62" s="220">
        <f t="shared" si="3"/>
        <v>0</v>
      </c>
    </row>
    <row r="63" spans="1:7" x14ac:dyDescent="0.2">
      <c r="A63" s="205">
        <v>44896</v>
      </c>
      <c r="B63" s="388">
        <f t="shared" si="0"/>
        <v>0</v>
      </c>
      <c r="C63" s="6"/>
      <c r="D63" s="266">
        <f t="shared" si="1"/>
        <v>0</v>
      </c>
      <c r="E63" s="267">
        <f t="shared" si="2"/>
        <v>0</v>
      </c>
      <c r="F63" s="6"/>
      <c r="G63" s="220">
        <f t="shared" si="3"/>
        <v>0</v>
      </c>
    </row>
    <row r="64" spans="1:7" x14ac:dyDescent="0.2">
      <c r="A64" s="205">
        <v>44562</v>
      </c>
      <c r="B64" s="388">
        <f t="shared" si="0"/>
        <v>0</v>
      </c>
      <c r="C64" s="207"/>
      <c r="D64" s="266">
        <f t="shared" si="1"/>
        <v>0</v>
      </c>
      <c r="E64" s="267">
        <f t="shared" si="2"/>
        <v>0</v>
      </c>
      <c r="F64" s="6"/>
      <c r="G64" s="220">
        <f t="shared" si="3"/>
        <v>0</v>
      </c>
    </row>
    <row r="65" spans="1:7" x14ac:dyDescent="0.2">
      <c r="A65" s="205">
        <v>44593</v>
      </c>
      <c r="B65" s="388">
        <f t="shared" si="0"/>
        <v>0</v>
      </c>
      <c r="C65" s="6"/>
      <c r="D65" s="266">
        <f t="shared" si="1"/>
        <v>0</v>
      </c>
      <c r="E65" s="267">
        <f t="shared" si="2"/>
        <v>0</v>
      </c>
      <c r="F65" s="6"/>
      <c r="G65" s="220">
        <f t="shared" si="3"/>
        <v>0</v>
      </c>
    </row>
    <row r="66" spans="1:7" x14ac:dyDescent="0.2">
      <c r="A66" s="205">
        <v>44621</v>
      </c>
      <c r="B66" s="388">
        <f t="shared" si="0"/>
        <v>0</v>
      </c>
      <c r="C66" s="6"/>
      <c r="D66" s="266">
        <f t="shared" si="1"/>
        <v>0</v>
      </c>
      <c r="E66" s="267">
        <f t="shared" si="2"/>
        <v>0</v>
      </c>
      <c r="F66" s="6"/>
      <c r="G66" s="220">
        <f t="shared" si="3"/>
        <v>0</v>
      </c>
    </row>
    <row r="67" spans="1:7" x14ac:dyDescent="0.2">
      <c r="A67" s="205">
        <v>44652</v>
      </c>
      <c r="B67" s="388">
        <f t="shared" si="0"/>
        <v>0</v>
      </c>
      <c r="C67" s="6"/>
      <c r="D67" s="266">
        <f t="shared" si="1"/>
        <v>0</v>
      </c>
      <c r="E67" s="267">
        <f t="shared" si="2"/>
        <v>0</v>
      </c>
      <c r="F67" s="6"/>
      <c r="G67" s="220">
        <f t="shared" si="3"/>
        <v>0</v>
      </c>
    </row>
    <row r="68" spans="1:7" x14ac:dyDescent="0.2">
      <c r="A68" s="205">
        <v>44682</v>
      </c>
      <c r="B68" s="388">
        <f t="shared" si="0"/>
        <v>0</v>
      </c>
      <c r="C68" s="6"/>
      <c r="D68" s="266">
        <f t="shared" si="1"/>
        <v>0</v>
      </c>
      <c r="E68" s="267">
        <f t="shared" si="2"/>
        <v>0</v>
      </c>
      <c r="F68" s="6"/>
      <c r="G68" s="220">
        <f t="shared" si="3"/>
        <v>0</v>
      </c>
    </row>
    <row r="69" spans="1:7" x14ac:dyDescent="0.2">
      <c r="A69" s="205">
        <v>44713</v>
      </c>
      <c r="B69" s="388">
        <f t="shared" ref="B69:B75" si="4">C68</f>
        <v>0</v>
      </c>
      <c r="C69" s="6"/>
      <c r="D69" s="266">
        <f t="shared" ref="D69:D75" si="5">C69-B69</f>
        <v>0</v>
      </c>
      <c r="E69" s="267">
        <f t="shared" ref="E69:E75" si="6">F68</f>
        <v>0</v>
      </c>
      <c r="F69" s="6"/>
      <c r="G69" s="220">
        <f t="shared" ref="G69:G75" si="7">F69-E69</f>
        <v>0</v>
      </c>
    </row>
    <row r="70" spans="1:7" x14ac:dyDescent="0.2">
      <c r="A70" s="205">
        <v>44743</v>
      </c>
      <c r="B70" s="388">
        <f t="shared" si="4"/>
        <v>0</v>
      </c>
      <c r="C70" s="6"/>
      <c r="D70" s="266">
        <f t="shared" si="5"/>
        <v>0</v>
      </c>
      <c r="E70" s="267">
        <f t="shared" si="6"/>
        <v>0</v>
      </c>
      <c r="F70" s="6"/>
      <c r="G70" s="220">
        <f t="shared" si="7"/>
        <v>0</v>
      </c>
    </row>
    <row r="71" spans="1:7" x14ac:dyDescent="0.2">
      <c r="A71" s="205">
        <v>44774</v>
      </c>
      <c r="B71" s="388">
        <f t="shared" si="4"/>
        <v>0</v>
      </c>
      <c r="C71" s="6"/>
      <c r="D71" s="266">
        <f t="shared" si="5"/>
        <v>0</v>
      </c>
      <c r="E71" s="267">
        <f t="shared" si="6"/>
        <v>0</v>
      </c>
      <c r="F71" s="6"/>
      <c r="G71" s="220">
        <f t="shared" si="7"/>
        <v>0</v>
      </c>
    </row>
    <row r="72" spans="1:7" x14ac:dyDescent="0.2">
      <c r="A72" s="205">
        <v>44805</v>
      </c>
      <c r="B72" s="388">
        <f t="shared" si="4"/>
        <v>0</v>
      </c>
      <c r="C72" s="6"/>
      <c r="D72" s="266">
        <f t="shared" si="5"/>
        <v>0</v>
      </c>
      <c r="E72" s="267">
        <f t="shared" si="6"/>
        <v>0</v>
      </c>
      <c r="F72" s="6"/>
      <c r="G72" s="220">
        <f t="shared" si="7"/>
        <v>0</v>
      </c>
    </row>
    <row r="73" spans="1:7" x14ac:dyDescent="0.2">
      <c r="A73" s="205">
        <v>44835</v>
      </c>
      <c r="B73" s="388">
        <f t="shared" si="4"/>
        <v>0</v>
      </c>
      <c r="C73" s="6"/>
      <c r="D73" s="266">
        <f t="shared" si="5"/>
        <v>0</v>
      </c>
      <c r="E73" s="267">
        <f t="shared" si="6"/>
        <v>0</v>
      </c>
      <c r="F73" s="6"/>
      <c r="G73" s="220">
        <f t="shared" si="7"/>
        <v>0</v>
      </c>
    </row>
    <row r="74" spans="1:7" x14ac:dyDescent="0.2">
      <c r="A74" s="205">
        <v>44866</v>
      </c>
      <c r="B74" s="388">
        <f t="shared" si="4"/>
        <v>0</v>
      </c>
      <c r="C74" s="6"/>
      <c r="D74" s="266">
        <f t="shared" si="5"/>
        <v>0</v>
      </c>
      <c r="E74" s="267">
        <f t="shared" si="6"/>
        <v>0</v>
      </c>
      <c r="F74" s="6"/>
      <c r="G74" s="220">
        <f t="shared" si="7"/>
        <v>0</v>
      </c>
    </row>
    <row r="75" spans="1:7" x14ac:dyDescent="0.2">
      <c r="A75" s="205">
        <v>44896</v>
      </c>
      <c r="B75" s="388">
        <f t="shared" si="4"/>
        <v>0</v>
      </c>
      <c r="C75" s="6"/>
      <c r="D75" s="266">
        <f t="shared" si="5"/>
        <v>0</v>
      </c>
      <c r="E75" s="267">
        <f t="shared" si="6"/>
        <v>0</v>
      </c>
      <c r="F75" s="6"/>
      <c r="G75" s="220">
        <f t="shared" si="7"/>
        <v>0</v>
      </c>
    </row>
    <row r="76" spans="1:7" ht="13.5" thickBot="1" x14ac:dyDescent="0.25"/>
    <row r="77" spans="1:7" x14ac:dyDescent="0.2">
      <c r="B77" s="656"/>
      <c r="C77" s="227"/>
      <c r="D77" s="657"/>
      <c r="E77" s="227"/>
      <c r="F77" s="227"/>
      <c r="G77" s="657"/>
    </row>
    <row r="78" spans="1:7" x14ac:dyDescent="0.2">
      <c r="B78" s="652"/>
      <c r="D78" s="653"/>
      <c r="G78" s="653"/>
    </row>
    <row r="79" spans="1:7" x14ac:dyDescent="0.2">
      <c r="B79" s="652"/>
      <c r="D79" s="653"/>
      <c r="G79" s="653"/>
    </row>
    <row r="80" spans="1:7" x14ac:dyDescent="0.2">
      <c r="B80" s="652"/>
      <c r="D80" s="653"/>
      <c r="G80" s="653"/>
    </row>
    <row r="81" spans="2:7" x14ac:dyDescent="0.2">
      <c r="B81" s="652"/>
      <c r="D81" s="653"/>
      <c r="G81" s="653"/>
    </row>
    <row r="82" spans="2:7" x14ac:dyDescent="0.2">
      <c r="B82" s="652"/>
      <c r="D82" s="653"/>
      <c r="G82" s="653"/>
    </row>
    <row r="83" spans="2:7" x14ac:dyDescent="0.2">
      <c r="B83" s="652"/>
      <c r="D83" s="653"/>
      <c r="G83" s="653"/>
    </row>
    <row r="84" spans="2:7" x14ac:dyDescent="0.2">
      <c r="B84" s="652"/>
      <c r="D84" s="653"/>
      <c r="G84" s="653"/>
    </row>
    <row r="85" spans="2:7" x14ac:dyDescent="0.2">
      <c r="B85" s="652"/>
      <c r="D85" s="653"/>
      <c r="G85" s="653"/>
    </row>
    <row r="86" spans="2:7" x14ac:dyDescent="0.2">
      <c r="B86" s="652"/>
      <c r="D86" s="653"/>
      <c r="G86" s="653"/>
    </row>
    <row r="87" spans="2:7" x14ac:dyDescent="0.2">
      <c r="B87" s="652"/>
      <c r="D87" s="653"/>
      <c r="G87" s="653"/>
    </row>
    <row r="88" spans="2:7" ht="13.5" thickBot="1" x14ac:dyDescent="0.25">
      <c r="B88" s="654"/>
      <c r="C88" s="212"/>
      <c r="D88" s="655"/>
      <c r="E88" s="212"/>
      <c r="F88" s="212"/>
      <c r="G88" s="655"/>
    </row>
    <row r="89" spans="2:7" ht="13.5" thickBot="1" x14ac:dyDescent="0.25">
      <c r="B89" s="658" t="s">
        <v>338</v>
      </c>
      <c r="C89" s="659"/>
      <c r="D89" s="660"/>
      <c r="E89" s="658" t="s">
        <v>339</v>
      </c>
      <c r="F89" s="659"/>
      <c r="G89" s="660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L93"/>
  <sheetViews>
    <sheetView topLeftCell="A56" workbookViewId="0">
      <selection activeCell="P49" sqref="P49"/>
    </sheetView>
  </sheetViews>
  <sheetFormatPr defaultRowHeight="12.75" x14ac:dyDescent="0.2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5.75" x14ac:dyDescent="0.25">
      <c r="A1" s="1040" t="s">
        <v>340</v>
      </c>
      <c r="B1" s="1041"/>
      <c r="C1" s="1041"/>
      <c r="D1" s="1041"/>
      <c r="G1" s="733"/>
      <c r="H1" s="734" t="s">
        <v>341</v>
      </c>
      <c r="I1" s="734"/>
      <c r="J1" s="733"/>
      <c r="K1" s="733"/>
    </row>
    <row r="2" spans="1:12" ht="38.25" x14ac:dyDescent="0.2">
      <c r="A2" s="735" t="s">
        <v>227</v>
      </c>
      <c r="B2" s="736" t="s">
        <v>335</v>
      </c>
      <c r="C2" s="736" t="s">
        <v>336</v>
      </c>
      <c r="D2" s="737" t="s">
        <v>342</v>
      </c>
      <c r="E2" s="737" t="s">
        <v>343</v>
      </c>
      <c r="F2" s="738" t="s">
        <v>344</v>
      </c>
      <c r="G2" s="739" t="s">
        <v>345</v>
      </c>
      <c r="H2" s="740" t="s">
        <v>346</v>
      </c>
      <c r="I2" s="741" t="s">
        <v>347</v>
      </c>
      <c r="J2" s="740" t="s">
        <v>348</v>
      </c>
      <c r="K2" s="740" t="s">
        <v>344</v>
      </c>
      <c r="L2" s="742" t="s">
        <v>313</v>
      </c>
    </row>
    <row r="3" spans="1:12" x14ac:dyDescent="0.2">
      <c r="A3" s="743">
        <v>43101</v>
      </c>
      <c r="B3" s="744">
        <v>6476953</v>
      </c>
      <c r="C3" s="6">
        <v>6542879</v>
      </c>
      <c r="D3" s="745">
        <v>65926</v>
      </c>
      <c r="E3" s="6">
        <v>65927.77</v>
      </c>
      <c r="F3" s="746">
        <v>-1.77</v>
      </c>
      <c r="G3" s="747" t="str">
        <f t="shared" ref="G3:G47" si="0">H2</f>
        <v>CLOSE METER</v>
      </c>
      <c r="H3" s="6">
        <v>59763</v>
      </c>
      <c r="I3" s="748" t="e">
        <f t="shared" ref="I3:I47" si="1">H3-G3</f>
        <v>#VALUE!</v>
      </c>
      <c r="J3" s="6">
        <v>6874.87</v>
      </c>
      <c r="K3" s="749" t="e">
        <f t="shared" ref="K3:K48" si="2">I3-J3</f>
        <v>#VALUE!</v>
      </c>
      <c r="L3" s="750">
        <v>72799</v>
      </c>
    </row>
    <row r="4" spans="1:12" x14ac:dyDescent="0.2">
      <c r="A4" s="743">
        <v>43132</v>
      </c>
      <c r="B4" s="744">
        <v>6542879</v>
      </c>
      <c r="C4" s="6">
        <v>6604433</v>
      </c>
      <c r="D4" s="745">
        <v>61554</v>
      </c>
      <c r="E4" s="751">
        <v>61553.03</v>
      </c>
      <c r="F4" s="746">
        <v>0.97</v>
      </c>
      <c r="G4" s="747">
        <f t="shared" si="0"/>
        <v>59763</v>
      </c>
      <c r="H4" s="6">
        <v>66652</v>
      </c>
      <c r="I4" s="748">
        <f t="shared" si="1"/>
        <v>6889</v>
      </c>
      <c r="J4" s="6">
        <v>6890.89</v>
      </c>
      <c r="K4" s="749">
        <f t="shared" si="2"/>
        <v>-1.8900000000003274</v>
      </c>
      <c r="L4" s="750">
        <v>68443</v>
      </c>
    </row>
    <row r="5" spans="1:12" x14ac:dyDescent="0.2">
      <c r="A5" s="743">
        <v>43160</v>
      </c>
      <c r="B5" s="744">
        <v>6604433</v>
      </c>
      <c r="C5" s="752">
        <v>6660226</v>
      </c>
      <c r="D5" s="745">
        <v>55793</v>
      </c>
      <c r="E5" s="752">
        <v>55792.75</v>
      </c>
      <c r="F5" s="746">
        <v>0.25</v>
      </c>
      <c r="G5" s="747">
        <f t="shared" si="0"/>
        <v>66652</v>
      </c>
      <c r="H5" s="752">
        <v>77607</v>
      </c>
      <c r="I5" s="748">
        <f t="shared" si="1"/>
        <v>10955</v>
      </c>
      <c r="J5" s="752">
        <v>10955.45</v>
      </c>
      <c r="K5" s="749">
        <f t="shared" si="2"/>
        <v>-0.4500000000007276</v>
      </c>
      <c r="L5" s="750">
        <v>66748</v>
      </c>
    </row>
    <row r="6" spans="1:12" x14ac:dyDescent="0.2">
      <c r="A6" s="743">
        <v>43191</v>
      </c>
      <c r="B6" s="744">
        <v>6660226</v>
      </c>
      <c r="C6" s="6">
        <v>6714539</v>
      </c>
      <c r="D6" s="745">
        <v>54313</v>
      </c>
      <c r="E6" s="752">
        <v>54312.28</v>
      </c>
      <c r="F6" s="746">
        <v>0.72</v>
      </c>
      <c r="G6" s="747">
        <f t="shared" si="0"/>
        <v>77607</v>
      </c>
      <c r="H6" s="6">
        <v>82271</v>
      </c>
      <c r="I6" s="748">
        <f t="shared" si="1"/>
        <v>4664</v>
      </c>
      <c r="J6" s="752">
        <v>4665.22</v>
      </c>
      <c r="K6" s="749">
        <f t="shared" si="2"/>
        <v>-1.2200000000002547</v>
      </c>
      <c r="L6" s="750">
        <v>58977</v>
      </c>
    </row>
    <row r="7" spans="1:12" x14ac:dyDescent="0.2">
      <c r="A7" s="753">
        <v>43221</v>
      </c>
      <c r="B7" s="744">
        <v>6714539</v>
      </c>
      <c r="C7" s="6">
        <v>6774547</v>
      </c>
      <c r="D7" s="745">
        <v>60008</v>
      </c>
      <c r="E7" s="6">
        <v>60007.47</v>
      </c>
      <c r="F7" s="746">
        <v>0.53</v>
      </c>
      <c r="G7" s="747">
        <f t="shared" si="0"/>
        <v>82271</v>
      </c>
      <c r="H7" s="6">
        <v>88664</v>
      </c>
      <c r="I7" s="748">
        <f t="shared" si="1"/>
        <v>6393</v>
      </c>
      <c r="J7" s="6">
        <v>6392.14</v>
      </c>
      <c r="K7" s="749">
        <f t="shared" si="2"/>
        <v>0.85999999999967258</v>
      </c>
      <c r="L7" s="750">
        <v>66401</v>
      </c>
    </row>
    <row r="8" spans="1:12" x14ac:dyDescent="0.2">
      <c r="A8" s="743">
        <v>43252</v>
      </c>
      <c r="B8" s="744">
        <v>6774547</v>
      </c>
      <c r="C8" s="6">
        <v>6845214</v>
      </c>
      <c r="D8" s="745">
        <v>70667</v>
      </c>
      <c r="E8" s="6">
        <v>70666.289999999994</v>
      </c>
      <c r="F8" s="746">
        <v>0.71</v>
      </c>
      <c r="G8" s="747">
        <f t="shared" si="0"/>
        <v>88664</v>
      </c>
      <c r="H8" s="6">
        <v>99683</v>
      </c>
      <c r="I8" s="748">
        <f t="shared" si="1"/>
        <v>11019</v>
      </c>
      <c r="J8" s="752">
        <v>11020.51</v>
      </c>
      <c r="K8" s="749">
        <f t="shared" si="2"/>
        <v>-1.5100000000002183</v>
      </c>
      <c r="L8" s="750">
        <v>81686</v>
      </c>
    </row>
    <row r="9" spans="1:12" x14ac:dyDescent="0.2">
      <c r="A9" s="743">
        <v>43282</v>
      </c>
      <c r="B9" s="744">
        <v>6845214</v>
      </c>
      <c r="C9" s="752">
        <v>6921964</v>
      </c>
      <c r="D9" s="745">
        <v>76750</v>
      </c>
      <c r="E9" s="752">
        <v>76750.25</v>
      </c>
      <c r="F9" s="746">
        <v>-0.25</v>
      </c>
      <c r="G9" s="747">
        <f t="shared" si="0"/>
        <v>99683</v>
      </c>
      <c r="H9" s="752">
        <v>107936</v>
      </c>
      <c r="I9" s="748">
        <f t="shared" si="1"/>
        <v>8253</v>
      </c>
      <c r="J9" s="752">
        <v>8252.24</v>
      </c>
      <c r="K9" s="749">
        <f t="shared" si="2"/>
        <v>0.76000000000021828</v>
      </c>
      <c r="L9" s="750">
        <v>85003</v>
      </c>
    </row>
    <row r="10" spans="1:12" x14ac:dyDescent="0.2">
      <c r="A10" s="743">
        <v>43313</v>
      </c>
      <c r="B10" s="744">
        <v>6921964</v>
      </c>
      <c r="C10" s="752">
        <v>7001142</v>
      </c>
      <c r="D10" s="745">
        <v>79178</v>
      </c>
      <c r="E10" s="752">
        <v>79179.56</v>
      </c>
      <c r="F10" s="746">
        <v>-1.56</v>
      </c>
      <c r="G10" s="747">
        <f t="shared" si="0"/>
        <v>107936</v>
      </c>
      <c r="H10" s="752">
        <v>116730</v>
      </c>
      <c r="I10" s="748">
        <f t="shared" si="1"/>
        <v>8794</v>
      </c>
      <c r="J10" s="752">
        <v>8793.1200000000008</v>
      </c>
      <c r="K10" s="749">
        <f t="shared" si="2"/>
        <v>0.87999999999919964</v>
      </c>
      <c r="L10" s="750">
        <v>87972</v>
      </c>
    </row>
    <row r="11" spans="1:12" x14ac:dyDescent="0.2">
      <c r="A11" s="743">
        <v>43344</v>
      </c>
      <c r="B11" s="744">
        <v>7001142</v>
      </c>
      <c r="C11" s="752">
        <v>7074217</v>
      </c>
      <c r="D11" s="745">
        <v>73075</v>
      </c>
      <c r="E11" s="752">
        <v>73076.960000000006</v>
      </c>
      <c r="F11" s="746">
        <v>-1.96</v>
      </c>
      <c r="G11" s="747">
        <f t="shared" si="0"/>
        <v>116730</v>
      </c>
      <c r="H11" s="752">
        <v>127346</v>
      </c>
      <c r="I11" s="748">
        <f t="shared" si="1"/>
        <v>10616</v>
      </c>
      <c r="J11" s="752">
        <v>10615.37</v>
      </c>
      <c r="K11" s="749">
        <f t="shared" si="2"/>
        <v>0.62999999999919964</v>
      </c>
      <c r="L11" s="750">
        <v>83691</v>
      </c>
    </row>
    <row r="12" spans="1:12" x14ac:dyDescent="0.2">
      <c r="A12" s="743">
        <v>43374</v>
      </c>
      <c r="B12" s="744">
        <v>7074217</v>
      </c>
      <c r="C12" s="6">
        <v>7154506</v>
      </c>
      <c r="D12" s="745">
        <v>80289</v>
      </c>
      <c r="E12" s="6">
        <v>80287.839999999997</v>
      </c>
      <c r="F12" s="746">
        <v>1.1599999999999999</v>
      </c>
      <c r="G12" s="747">
        <f t="shared" si="0"/>
        <v>127346</v>
      </c>
      <c r="H12" s="6">
        <v>134840</v>
      </c>
      <c r="I12" s="748">
        <f t="shared" si="1"/>
        <v>7494</v>
      </c>
      <c r="J12" s="6">
        <v>7493.99</v>
      </c>
      <c r="K12" s="749">
        <f t="shared" si="2"/>
        <v>1.0000000000218279E-2</v>
      </c>
      <c r="L12" s="750">
        <v>87783</v>
      </c>
    </row>
    <row r="13" spans="1:12" x14ac:dyDescent="0.2">
      <c r="A13" s="743">
        <v>43405</v>
      </c>
      <c r="B13" s="744">
        <v>7154506</v>
      </c>
      <c r="C13" s="6">
        <v>7225359</v>
      </c>
      <c r="D13" s="745">
        <v>70853</v>
      </c>
      <c r="E13" s="6">
        <v>70852.88</v>
      </c>
      <c r="F13" s="746">
        <v>0.12</v>
      </c>
      <c r="G13" s="747">
        <f t="shared" si="0"/>
        <v>134840</v>
      </c>
      <c r="H13" s="6">
        <v>145302</v>
      </c>
      <c r="I13" s="748">
        <f t="shared" si="1"/>
        <v>10462</v>
      </c>
      <c r="J13" s="6">
        <v>10462.700000000001</v>
      </c>
      <c r="K13" s="749">
        <f t="shared" si="2"/>
        <v>-0.7000000000007276</v>
      </c>
      <c r="L13" s="750">
        <v>81315</v>
      </c>
    </row>
    <row r="14" spans="1:12" x14ac:dyDescent="0.2">
      <c r="A14" s="743">
        <v>43435</v>
      </c>
      <c r="B14" s="744">
        <v>7225359</v>
      </c>
      <c r="C14" s="6">
        <v>7296581</v>
      </c>
      <c r="D14" s="745">
        <v>71222</v>
      </c>
      <c r="E14" s="6">
        <v>71221.22</v>
      </c>
      <c r="F14" s="746">
        <v>0.78</v>
      </c>
      <c r="G14" s="747">
        <f t="shared" si="0"/>
        <v>145302</v>
      </c>
      <c r="H14" s="6">
        <v>154999</v>
      </c>
      <c r="I14" s="748">
        <f t="shared" si="1"/>
        <v>9697</v>
      </c>
      <c r="J14" s="6">
        <v>9696.7999999999993</v>
      </c>
      <c r="K14" s="749">
        <f t="shared" si="2"/>
        <v>0.2000000000007276</v>
      </c>
      <c r="L14" s="750">
        <v>80919</v>
      </c>
    </row>
    <row r="15" spans="1:12" x14ac:dyDescent="0.2">
      <c r="A15" s="743">
        <v>43466</v>
      </c>
      <c r="B15" s="744">
        <v>7296581</v>
      </c>
      <c r="C15" s="6">
        <v>7366625</v>
      </c>
      <c r="D15" s="745">
        <v>70044</v>
      </c>
      <c r="E15" s="6">
        <v>70042.86</v>
      </c>
      <c r="F15" s="746">
        <v>1.1399999999999999</v>
      </c>
      <c r="G15" s="747">
        <f t="shared" si="0"/>
        <v>154999</v>
      </c>
      <c r="H15" s="6">
        <v>161103</v>
      </c>
      <c r="I15" s="748">
        <f t="shared" si="1"/>
        <v>6104</v>
      </c>
      <c r="J15" s="6">
        <v>6107.32</v>
      </c>
      <c r="K15" s="749">
        <f t="shared" si="2"/>
        <v>-3.319999999999709</v>
      </c>
      <c r="L15" s="750">
        <v>76148</v>
      </c>
    </row>
    <row r="16" spans="1:12" x14ac:dyDescent="0.2">
      <c r="A16" s="743">
        <v>43497</v>
      </c>
      <c r="B16" s="744">
        <v>7366625</v>
      </c>
      <c r="C16" s="6">
        <v>7427612</v>
      </c>
      <c r="D16" s="745">
        <v>60987</v>
      </c>
      <c r="E16" s="6">
        <v>60986.27</v>
      </c>
      <c r="F16" s="746">
        <v>0.73</v>
      </c>
      <c r="G16" s="747">
        <f t="shared" si="0"/>
        <v>161103</v>
      </c>
      <c r="H16" s="6">
        <v>167784</v>
      </c>
      <c r="I16" s="748">
        <f t="shared" si="1"/>
        <v>6681</v>
      </c>
      <c r="J16" s="6">
        <v>6681</v>
      </c>
      <c r="K16" s="749">
        <f t="shared" si="2"/>
        <v>0</v>
      </c>
      <c r="L16" s="750">
        <v>67668</v>
      </c>
    </row>
    <row r="17" spans="1:12" x14ac:dyDescent="0.2">
      <c r="A17" s="743">
        <v>43525</v>
      </c>
      <c r="B17" s="744">
        <v>7427612</v>
      </c>
      <c r="C17" s="6">
        <v>7494502</v>
      </c>
      <c r="D17" s="745">
        <v>66890</v>
      </c>
      <c r="E17" s="6">
        <v>66888.649999999994</v>
      </c>
      <c r="F17" s="746">
        <v>1.35</v>
      </c>
      <c r="G17" s="747">
        <f t="shared" si="0"/>
        <v>167784</v>
      </c>
      <c r="H17" s="6">
        <v>178453</v>
      </c>
      <c r="I17" s="748">
        <f t="shared" si="1"/>
        <v>10669</v>
      </c>
      <c r="J17" s="6">
        <v>10669.59</v>
      </c>
      <c r="K17" s="749">
        <f t="shared" si="2"/>
        <v>-0.59000000000014552</v>
      </c>
      <c r="L17" s="750">
        <v>77559</v>
      </c>
    </row>
    <row r="18" spans="1:12" x14ac:dyDescent="0.2">
      <c r="A18" s="743">
        <v>43556</v>
      </c>
      <c r="B18" s="744">
        <v>7494502</v>
      </c>
      <c r="C18" s="6">
        <v>7567839</v>
      </c>
      <c r="D18" s="745">
        <v>73337</v>
      </c>
      <c r="E18" s="6">
        <v>73336.570000000007</v>
      </c>
      <c r="F18" s="746">
        <v>0.43</v>
      </c>
      <c r="G18" s="747">
        <f t="shared" si="0"/>
        <v>178453</v>
      </c>
      <c r="H18" s="6">
        <v>185868</v>
      </c>
      <c r="I18" s="748">
        <f t="shared" si="1"/>
        <v>7415</v>
      </c>
      <c r="J18" s="6">
        <v>7415.91</v>
      </c>
      <c r="K18" s="749">
        <f t="shared" si="2"/>
        <v>-0.90999999999985448</v>
      </c>
      <c r="L18" s="750">
        <v>80752</v>
      </c>
    </row>
    <row r="19" spans="1:12" x14ac:dyDescent="0.2">
      <c r="A19" s="743">
        <v>43586</v>
      </c>
      <c r="B19" s="744">
        <v>7567839</v>
      </c>
      <c r="C19" s="6">
        <v>7635177</v>
      </c>
      <c r="D19" s="745">
        <v>67338</v>
      </c>
      <c r="E19" s="6">
        <v>67338.48</v>
      </c>
      <c r="F19" s="746">
        <v>-0.48</v>
      </c>
      <c r="G19" s="747">
        <f t="shared" si="0"/>
        <v>185868</v>
      </c>
      <c r="H19" s="6">
        <v>191580</v>
      </c>
      <c r="I19" s="748">
        <f t="shared" si="1"/>
        <v>5712</v>
      </c>
      <c r="J19" s="6">
        <v>5711.08</v>
      </c>
      <c r="K19" s="749">
        <f t="shared" si="2"/>
        <v>0.92000000000007276</v>
      </c>
      <c r="L19" s="750">
        <v>73050</v>
      </c>
    </row>
    <row r="20" spans="1:12" x14ac:dyDescent="0.2">
      <c r="A20" s="743">
        <v>43617</v>
      </c>
      <c r="B20" s="744">
        <v>7635177</v>
      </c>
      <c r="C20" s="6">
        <v>7705814</v>
      </c>
      <c r="D20" s="745">
        <v>70637</v>
      </c>
      <c r="E20" s="6">
        <v>70631.199999999997</v>
      </c>
      <c r="F20" s="746">
        <v>5.8</v>
      </c>
      <c r="G20" s="747">
        <f t="shared" si="0"/>
        <v>191580</v>
      </c>
      <c r="H20" s="6">
        <v>198910</v>
      </c>
      <c r="I20" s="748">
        <f t="shared" si="1"/>
        <v>7330</v>
      </c>
      <c r="J20" s="6">
        <v>7352.54</v>
      </c>
      <c r="K20" s="749">
        <f t="shared" si="2"/>
        <v>-22.539999999999964</v>
      </c>
      <c r="L20" s="750">
        <v>77967</v>
      </c>
    </row>
    <row r="21" spans="1:12" x14ac:dyDescent="0.2">
      <c r="A21" s="743">
        <v>43647</v>
      </c>
      <c r="B21" s="744">
        <v>7705814</v>
      </c>
      <c r="C21" s="6">
        <v>7789265</v>
      </c>
      <c r="D21" s="745">
        <v>83451</v>
      </c>
      <c r="E21" s="6">
        <v>83450.259999999995</v>
      </c>
      <c r="F21" s="746">
        <v>0.74</v>
      </c>
      <c r="G21" s="747">
        <f t="shared" si="0"/>
        <v>198910</v>
      </c>
      <c r="H21" s="6">
        <v>208208</v>
      </c>
      <c r="I21" s="748">
        <f t="shared" si="1"/>
        <v>9298</v>
      </c>
      <c r="J21" s="6">
        <v>8921.51</v>
      </c>
      <c r="K21" s="749">
        <f t="shared" si="2"/>
        <v>376.48999999999978</v>
      </c>
      <c r="L21" s="750">
        <v>92749</v>
      </c>
    </row>
    <row r="22" spans="1:12" x14ac:dyDescent="0.2">
      <c r="A22" s="743">
        <v>43678</v>
      </c>
      <c r="B22" s="744">
        <v>7789265</v>
      </c>
      <c r="C22" s="6">
        <v>7867728</v>
      </c>
      <c r="D22" s="745">
        <v>78463</v>
      </c>
      <c r="E22" s="6">
        <v>78463.600000000006</v>
      </c>
      <c r="F22" s="746">
        <v>-0.6</v>
      </c>
      <c r="G22" s="747">
        <f t="shared" si="0"/>
        <v>208208</v>
      </c>
      <c r="H22" s="6">
        <v>216205</v>
      </c>
      <c r="I22" s="748">
        <f t="shared" si="1"/>
        <v>7997</v>
      </c>
      <c r="J22" s="6">
        <v>7870.33</v>
      </c>
      <c r="K22" s="749">
        <f t="shared" si="2"/>
        <v>126.67000000000007</v>
      </c>
      <c r="L22" s="750">
        <v>86460</v>
      </c>
    </row>
    <row r="23" spans="1:12" x14ac:dyDescent="0.2">
      <c r="A23" s="743">
        <v>43709</v>
      </c>
      <c r="B23" s="744">
        <v>7867728</v>
      </c>
      <c r="C23" s="6">
        <v>7937278</v>
      </c>
      <c r="D23" s="745">
        <v>69550</v>
      </c>
      <c r="E23" s="6">
        <v>69549.31</v>
      </c>
      <c r="F23" s="746">
        <v>0.69</v>
      </c>
      <c r="G23" s="747">
        <f t="shared" si="0"/>
        <v>216205</v>
      </c>
      <c r="H23" s="6">
        <v>223195</v>
      </c>
      <c r="I23" s="748">
        <f t="shared" si="1"/>
        <v>6990</v>
      </c>
      <c r="J23" s="6">
        <v>6989.22</v>
      </c>
      <c r="K23" s="749">
        <f t="shared" si="2"/>
        <v>0.77999999999974534</v>
      </c>
      <c r="L23" s="750">
        <v>76540</v>
      </c>
    </row>
    <row r="24" spans="1:12" x14ac:dyDescent="0.2">
      <c r="A24" s="743">
        <v>43739</v>
      </c>
      <c r="B24" s="744">
        <v>7937278</v>
      </c>
      <c r="C24" s="6">
        <v>8009185</v>
      </c>
      <c r="D24" s="745">
        <v>71907</v>
      </c>
      <c r="E24" s="6">
        <v>71906.240000000005</v>
      </c>
      <c r="F24" s="746">
        <v>0.76</v>
      </c>
      <c r="G24" s="747">
        <f t="shared" si="0"/>
        <v>223195</v>
      </c>
      <c r="H24" s="6">
        <v>229902</v>
      </c>
      <c r="I24" s="748">
        <f t="shared" si="1"/>
        <v>6707</v>
      </c>
      <c r="J24" s="6">
        <v>6706</v>
      </c>
      <c r="K24" s="749">
        <f t="shared" si="2"/>
        <v>1</v>
      </c>
      <c r="L24" s="750">
        <v>78614</v>
      </c>
    </row>
    <row r="25" spans="1:12" x14ac:dyDescent="0.2">
      <c r="A25" s="743">
        <v>43770</v>
      </c>
      <c r="B25" s="744">
        <v>8009185</v>
      </c>
      <c r="C25" s="6">
        <v>8069975</v>
      </c>
      <c r="D25" s="745">
        <v>60790</v>
      </c>
      <c r="E25" s="6">
        <v>60788.44</v>
      </c>
      <c r="F25" s="746">
        <v>1.56</v>
      </c>
      <c r="G25" s="747">
        <f t="shared" si="0"/>
        <v>229902</v>
      </c>
      <c r="H25" s="6">
        <v>235486</v>
      </c>
      <c r="I25" s="748">
        <f t="shared" si="1"/>
        <v>5584</v>
      </c>
      <c r="J25" s="6">
        <v>5584</v>
      </c>
      <c r="K25" s="749">
        <f t="shared" si="2"/>
        <v>0</v>
      </c>
      <c r="L25" s="750">
        <v>66374</v>
      </c>
    </row>
    <row r="26" spans="1:12" x14ac:dyDescent="0.2">
      <c r="A26" s="743">
        <v>43800</v>
      </c>
      <c r="B26" s="744">
        <v>8069975</v>
      </c>
      <c r="C26" s="752">
        <v>8133966</v>
      </c>
      <c r="D26" s="745">
        <v>63991</v>
      </c>
      <c r="E26" s="752">
        <v>63990.63</v>
      </c>
      <c r="F26" s="746">
        <v>0.37</v>
      </c>
      <c r="G26" s="747">
        <f t="shared" si="0"/>
        <v>235486</v>
      </c>
      <c r="H26" s="752">
        <v>245835</v>
      </c>
      <c r="I26" s="748">
        <f t="shared" si="1"/>
        <v>10349</v>
      </c>
      <c r="J26" s="752">
        <v>10348.06</v>
      </c>
      <c r="K26" s="749">
        <f t="shared" si="2"/>
        <v>0.94000000000050932</v>
      </c>
      <c r="L26" s="750">
        <v>74340</v>
      </c>
    </row>
    <row r="27" spans="1:12" x14ac:dyDescent="0.2">
      <c r="A27" s="743">
        <v>43831</v>
      </c>
      <c r="B27" s="744">
        <v>8133966</v>
      </c>
      <c r="C27" s="6">
        <v>8200024</v>
      </c>
      <c r="D27" s="745">
        <v>66058</v>
      </c>
      <c r="E27" s="6">
        <v>66057.75</v>
      </c>
      <c r="F27" s="746">
        <v>0.25</v>
      </c>
      <c r="G27" s="747">
        <f t="shared" si="0"/>
        <v>245835</v>
      </c>
      <c r="H27" s="6">
        <v>253278</v>
      </c>
      <c r="I27" s="748">
        <f t="shared" si="1"/>
        <v>7443</v>
      </c>
      <c r="J27" s="6">
        <v>7443.22</v>
      </c>
      <c r="K27" s="749">
        <f t="shared" si="2"/>
        <v>-0.22000000000025466</v>
      </c>
      <c r="L27" s="750">
        <v>73501</v>
      </c>
    </row>
    <row r="28" spans="1:12" x14ac:dyDescent="0.2">
      <c r="A28" s="743">
        <v>43862</v>
      </c>
      <c r="B28" s="744">
        <v>8200024</v>
      </c>
      <c r="C28" s="6">
        <v>8265856</v>
      </c>
      <c r="D28" s="745">
        <v>65832</v>
      </c>
      <c r="E28" s="6">
        <v>65831.210000000006</v>
      </c>
      <c r="F28" s="746">
        <v>0.79</v>
      </c>
      <c r="G28" s="747">
        <f t="shared" si="0"/>
        <v>253278</v>
      </c>
      <c r="H28" s="6">
        <v>259127</v>
      </c>
      <c r="I28" s="748">
        <f t="shared" si="1"/>
        <v>5849</v>
      </c>
      <c r="J28" s="6">
        <v>5848.37</v>
      </c>
      <c r="K28" s="749">
        <f t="shared" si="2"/>
        <v>0.63000000000010914</v>
      </c>
      <c r="L28" s="750">
        <v>71681</v>
      </c>
    </row>
    <row r="29" spans="1:12" x14ac:dyDescent="0.2">
      <c r="A29" s="743">
        <v>43891</v>
      </c>
      <c r="B29" s="744">
        <v>8265856</v>
      </c>
      <c r="C29" s="6">
        <v>8316467</v>
      </c>
      <c r="D29" s="745">
        <v>50611</v>
      </c>
      <c r="E29" s="6">
        <v>50610.58</v>
      </c>
      <c r="F29" s="746">
        <v>0.42</v>
      </c>
      <c r="G29" s="747">
        <f t="shared" si="0"/>
        <v>259127</v>
      </c>
      <c r="H29" s="6">
        <v>262770</v>
      </c>
      <c r="I29" s="748">
        <f t="shared" si="1"/>
        <v>3643</v>
      </c>
      <c r="J29" s="6">
        <v>3643.28</v>
      </c>
      <c r="K29" s="749">
        <f t="shared" si="2"/>
        <v>-0.28000000000020009</v>
      </c>
      <c r="L29" s="750">
        <v>54254</v>
      </c>
    </row>
    <row r="30" spans="1:12" x14ac:dyDescent="0.2">
      <c r="A30" s="743">
        <v>43922</v>
      </c>
      <c r="B30" s="744">
        <v>8316467</v>
      </c>
      <c r="C30" s="752">
        <v>8339290</v>
      </c>
      <c r="D30" s="745">
        <v>22823</v>
      </c>
      <c r="E30" s="752">
        <v>22822.77</v>
      </c>
      <c r="F30" s="746">
        <v>0.23</v>
      </c>
      <c r="G30" s="747">
        <f t="shared" si="0"/>
        <v>262770</v>
      </c>
      <c r="H30" s="752">
        <v>264628</v>
      </c>
      <c r="I30" s="748">
        <f t="shared" si="1"/>
        <v>1858</v>
      </c>
      <c r="J30" s="752">
        <v>1858.41</v>
      </c>
      <c r="K30" s="749">
        <f t="shared" si="2"/>
        <v>-0.41000000000008185</v>
      </c>
      <c r="L30" s="750">
        <v>24681</v>
      </c>
    </row>
    <row r="31" spans="1:12" x14ac:dyDescent="0.2">
      <c r="A31" s="743">
        <v>43952</v>
      </c>
      <c r="B31" s="744">
        <v>8339290</v>
      </c>
      <c r="C31" s="6">
        <v>8359648</v>
      </c>
      <c r="D31" s="745">
        <v>20358</v>
      </c>
      <c r="E31" s="6">
        <v>20357.990000000002</v>
      </c>
      <c r="F31" s="746">
        <v>0.01</v>
      </c>
      <c r="G31" s="747">
        <f t="shared" si="0"/>
        <v>264628</v>
      </c>
      <c r="H31" s="6">
        <v>265578</v>
      </c>
      <c r="I31" s="748">
        <f t="shared" si="1"/>
        <v>950</v>
      </c>
      <c r="J31" s="6">
        <v>949.76</v>
      </c>
      <c r="K31" s="749">
        <f t="shared" si="2"/>
        <v>0.24000000000000909</v>
      </c>
      <c r="L31" s="750">
        <v>21308</v>
      </c>
    </row>
    <row r="32" spans="1:12" x14ac:dyDescent="0.2">
      <c r="A32" s="743">
        <v>43983</v>
      </c>
      <c r="B32" s="744">
        <v>8359648</v>
      </c>
      <c r="C32" s="6">
        <v>8379633</v>
      </c>
      <c r="D32" s="745">
        <v>19985</v>
      </c>
      <c r="E32" s="6">
        <v>19986.830000000002</v>
      </c>
      <c r="F32" s="746">
        <v>-1.83</v>
      </c>
      <c r="G32" s="747">
        <f t="shared" si="0"/>
        <v>265578</v>
      </c>
      <c r="H32" s="6">
        <v>266245</v>
      </c>
      <c r="I32" s="748">
        <f t="shared" si="1"/>
        <v>667</v>
      </c>
      <c r="J32" s="6">
        <v>667.51</v>
      </c>
      <c r="K32" s="749">
        <f t="shared" si="2"/>
        <v>-0.50999999999999091</v>
      </c>
      <c r="L32" s="750">
        <v>20652</v>
      </c>
    </row>
    <row r="33" spans="1:12" x14ac:dyDescent="0.2">
      <c r="A33" s="743">
        <v>44013</v>
      </c>
      <c r="B33" s="744">
        <v>8379633</v>
      </c>
      <c r="C33" s="6">
        <v>8401424</v>
      </c>
      <c r="D33" s="745">
        <v>21791</v>
      </c>
      <c r="E33" s="6">
        <v>21791.54</v>
      </c>
      <c r="F33" s="746">
        <v>-0.54</v>
      </c>
      <c r="G33" s="747">
        <f t="shared" si="0"/>
        <v>266245</v>
      </c>
      <c r="H33" s="6">
        <v>267428</v>
      </c>
      <c r="I33" s="748">
        <f t="shared" si="1"/>
        <v>1183</v>
      </c>
      <c r="J33" s="6">
        <v>1182.19</v>
      </c>
      <c r="K33" s="749">
        <f t="shared" si="2"/>
        <v>0.80999999999994543</v>
      </c>
      <c r="L33" s="750">
        <v>22974</v>
      </c>
    </row>
    <row r="34" spans="1:12" x14ac:dyDescent="0.2">
      <c r="A34" s="743">
        <v>44044</v>
      </c>
      <c r="B34" s="744">
        <v>8401424</v>
      </c>
      <c r="C34" s="752">
        <v>8425982</v>
      </c>
      <c r="D34" s="745">
        <v>24558</v>
      </c>
      <c r="E34" s="752">
        <v>24556.98</v>
      </c>
      <c r="F34" s="746">
        <v>1.02</v>
      </c>
      <c r="G34" s="747">
        <f t="shared" si="0"/>
        <v>267428</v>
      </c>
      <c r="H34" s="752">
        <v>268712</v>
      </c>
      <c r="I34" s="748">
        <f t="shared" si="1"/>
        <v>1284</v>
      </c>
      <c r="J34" s="752">
        <v>1284.27</v>
      </c>
      <c r="K34" s="749">
        <f t="shared" si="2"/>
        <v>-0.26999999999998181</v>
      </c>
      <c r="L34" s="750">
        <v>25842</v>
      </c>
    </row>
    <row r="35" spans="1:12" x14ac:dyDescent="0.2">
      <c r="A35" s="743">
        <v>44075</v>
      </c>
      <c r="B35" s="744">
        <v>8425982</v>
      </c>
      <c r="C35" s="752">
        <v>8454371</v>
      </c>
      <c r="D35" s="745">
        <v>28389</v>
      </c>
      <c r="E35" s="752">
        <v>28390.560000000001</v>
      </c>
      <c r="F35" s="746">
        <v>-1.56</v>
      </c>
      <c r="G35" s="747">
        <f t="shared" si="0"/>
        <v>268712</v>
      </c>
      <c r="H35" s="6">
        <v>270861</v>
      </c>
      <c r="I35" s="748">
        <f t="shared" si="1"/>
        <v>2149</v>
      </c>
      <c r="J35" s="6">
        <v>2149.25</v>
      </c>
      <c r="K35" s="749">
        <f t="shared" si="2"/>
        <v>-0.25</v>
      </c>
      <c r="L35" s="750">
        <v>30538</v>
      </c>
    </row>
    <row r="36" spans="1:12" x14ac:dyDescent="0.2">
      <c r="A36" s="743">
        <v>44105</v>
      </c>
      <c r="B36" s="744">
        <v>8454371</v>
      </c>
      <c r="C36" s="752">
        <v>8485990</v>
      </c>
      <c r="D36" s="745">
        <v>31619</v>
      </c>
      <c r="E36" s="752">
        <v>31621.57</v>
      </c>
      <c r="F36" s="746">
        <v>-2.57</v>
      </c>
      <c r="G36" s="747">
        <f t="shared" si="0"/>
        <v>270861</v>
      </c>
      <c r="H36" s="752">
        <v>273623</v>
      </c>
      <c r="I36" s="748">
        <f t="shared" si="1"/>
        <v>2762</v>
      </c>
      <c r="J36" s="752">
        <v>2761.47</v>
      </c>
      <c r="K36" s="749">
        <f t="shared" si="2"/>
        <v>0.53000000000020009</v>
      </c>
      <c r="L36" s="750">
        <v>34381</v>
      </c>
    </row>
    <row r="37" spans="1:12" x14ac:dyDescent="0.2">
      <c r="A37" s="743">
        <v>44136</v>
      </c>
      <c r="B37" s="744">
        <v>8485990</v>
      </c>
      <c r="C37" s="6">
        <v>8516401</v>
      </c>
      <c r="D37" s="745">
        <v>30411</v>
      </c>
      <c r="E37" s="6">
        <v>30411.599999999999</v>
      </c>
      <c r="F37" s="746">
        <v>-0.6</v>
      </c>
      <c r="G37" s="747">
        <f t="shared" si="0"/>
        <v>273623</v>
      </c>
      <c r="H37" s="6">
        <v>275204</v>
      </c>
      <c r="I37" s="748">
        <f t="shared" si="1"/>
        <v>1581</v>
      </c>
      <c r="J37" s="6">
        <v>1581.28</v>
      </c>
      <c r="K37" s="749">
        <f t="shared" si="2"/>
        <v>-0.27999999999997272</v>
      </c>
      <c r="L37" s="750">
        <v>31992</v>
      </c>
    </row>
    <row r="38" spans="1:12" x14ac:dyDescent="0.2">
      <c r="A38" s="743">
        <v>44166</v>
      </c>
      <c r="B38" s="744">
        <v>8516401</v>
      </c>
      <c r="C38" s="6">
        <v>8555365</v>
      </c>
      <c r="D38" s="745">
        <v>38964</v>
      </c>
      <c r="E38" s="6">
        <v>38962.93</v>
      </c>
      <c r="F38" s="746">
        <v>1.07</v>
      </c>
      <c r="G38" s="747">
        <f t="shared" si="0"/>
        <v>275204</v>
      </c>
      <c r="H38" s="6">
        <v>279159</v>
      </c>
      <c r="I38" s="748">
        <f t="shared" si="1"/>
        <v>3955</v>
      </c>
      <c r="J38" s="6">
        <v>3923.84</v>
      </c>
      <c r="K38" s="749">
        <f t="shared" si="2"/>
        <v>31.159999999999854</v>
      </c>
      <c r="L38" s="750">
        <v>42919</v>
      </c>
    </row>
    <row r="39" spans="1:12" x14ac:dyDescent="0.2">
      <c r="A39" s="743">
        <v>44197</v>
      </c>
      <c r="B39" s="744">
        <v>8555365</v>
      </c>
      <c r="C39" s="6">
        <v>8594661</v>
      </c>
      <c r="D39" s="745">
        <v>39296</v>
      </c>
      <c r="E39" s="6">
        <v>39314.550000000003</v>
      </c>
      <c r="F39" s="746">
        <v>-18.55</v>
      </c>
      <c r="G39" s="747">
        <f t="shared" si="0"/>
        <v>279159</v>
      </c>
      <c r="H39" s="6">
        <v>282519</v>
      </c>
      <c r="I39" s="748">
        <f t="shared" si="1"/>
        <v>3360</v>
      </c>
      <c r="J39" s="6">
        <v>3390.69</v>
      </c>
      <c r="K39" s="749">
        <f>I39-J39</f>
        <v>-30.690000000000055</v>
      </c>
      <c r="L39" s="750">
        <v>42656</v>
      </c>
    </row>
    <row r="40" spans="1:12" x14ac:dyDescent="0.2">
      <c r="A40" s="743">
        <v>44228</v>
      </c>
      <c r="B40" s="744">
        <v>8594661</v>
      </c>
      <c r="C40" s="6">
        <v>8626044</v>
      </c>
      <c r="D40" s="745">
        <v>31383</v>
      </c>
      <c r="E40" s="6">
        <v>31457.200000000001</v>
      </c>
      <c r="F40" s="746">
        <v>-74.2</v>
      </c>
      <c r="G40" s="747">
        <f t="shared" si="0"/>
        <v>282519</v>
      </c>
      <c r="H40" s="6">
        <v>286104</v>
      </c>
      <c r="I40" s="748">
        <f t="shared" si="1"/>
        <v>3585</v>
      </c>
      <c r="J40" s="6">
        <v>3585.35</v>
      </c>
      <c r="K40" s="749">
        <f t="shared" si="2"/>
        <v>-0.34999999999990905</v>
      </c>
      <c r="L40" s="750">
        <v>34968</v>
      </c>
    </row>
    <row r="41" spans="1:12" x14ac:dyDescent="0.2">
      <c r="A41" s="743">
        <v>44256</v>
      </c>
      <c r="B41" s="744">
        <v>8626044</v>
      </c>
      <c r="C41" s="6">
        <v>8662434</v>
      </c>
      <c r="D41" s="745">
        <v>36390</v>
      </c>
      <c r="E41" s="6">
        <v>36518.83</v>
      </c>
      <c r="F41" s="746">
        <v>-128.83000000000001</v>
      </c>
      <c r="G41" s="747">
        <f t="shared" si="0"/>
        <v>286104</v>
      </c>
      <c r="H41" s="6">
        <v>289959</v>
      </c>
      <c r="I41" s="748">
        <f t="shared" si="1"/>
        <v>3855</v>
      </c>
      <c r="J41" s="6">
        <v>3854.7</v>
      </c>
      <c r="K41" s="749">
        <f t="shared" si="2"/>
        <v>0.3000000000001819</v>
      </c>
      <c r="L41" s="750">
        <v>40245</v>
      </c>
    </row>
    <row r="42" spans="1:12" x14ac:dyDescent="0.2">
      <c r="A42" s="743">
        <v>44287</v>
      </c>
      <c r="B42" s="744">
        <v>8662434</v>
      </c>
      <c r="C42" s="6">
        <v>8665049</v>
      </c>
      <c r="D42" s="745">
        <v>2615</v>
      </c>
      <c r="E42" s="6">
        <v>2635.28</v>
      </c>
      <c r="F42" s="746">
        <v>-20.28</v>
      </c>
      <c r="G42" s="747">
        <f t="shared" si="0"/>
        <v>289959</v>
      </c>
      <c r="H42" s="6">
        <v>326780</v>
      </c>
      <c r="I42" s="748">
        <f t="shared" si="1"/>
        <v>36821</v>
      </c>
      <c r="J42" s="6">
        <v>36819.769999999997</v>
      </c>
      <c r="K42" s="749">
        <f t="shared" si="2"/>
        <v>1.2300000000032014</v>
      </c>
      <c r="L42" s="750">
        <v>39436</v>
      </c>
    </row>
    <row r="43" spans="1:12" x14ac:dyDescent="0.2">
      <c r="A43" s="743">
        <v>44317</v>
      </c>
      <c r="B43" s="744">
        <v>8665049</v>
      </c>
      <c r="C43" s="6">
        <v>8665049</v>
      </c>
      <c r="D43" s="745">
        <v>0</v>
      </c>
      <c r="E43" s="6"/>
      <c r="F43" s="746">
        <v>0</v>
      </c>
      <c r="G43" s="747">
        <f t="shared" si="0"/>
        <v>326780</v>
      </c>
      <c r="H43" s="6">
        <v>368062</v>
      </c>
      <c r="I43" s="748">
        <f t="shared" si="1"/>
        <v>41282</v>
      </c>
      <c r="J43" s="6">
        <v>41282</v>
      </c>
      <c r="K43" s="749">
        <f t="shared" si="2"/>
        <v>0</v>
      </c>
      <c r="L43" s="750">
        <v>41282</v>
      </c>
    </row>
    <row r="44" spans="1:12" x14ac:dyDescent="0.2">
      <c r="A44" s="743">
        <v>44348</v>
      </c>
      <c r="B44" s="744">
        <v>8665049</v>
      </c>
      <c r="C44" s="6">
        <v>8665049</v>
      </c>
      <c r="D44" s="745">
        <v>0</v>
      </c>
      <c r="E44" s="6"/>
      <c r="F44" s="746">
        <v>0</v>
      </c>
      <c r="G44" s="747">
        <f t="shared" si="0"/>
        <v>368062</v>
      </c>
      <c r="H44" s="6">
        <v>414601</v>
      </c>
      <c r="I44" s="748">
        <f t="shared" si="1"/>
        <v>46539</v>
      </c>
      <c r="J44" s="6">
        <v>46539</v>
      </c>
      <c r="K44" s="749">
        <f t="shared" si="2"/>
        <v>0</v>
      </c>
      <c r="L44" s="750">
        <v>46539</v>
      </c>
    </row>
    <row r="45" spans="1:12" x14ac:dyDescent="0.2">
      <c r="A45" s="743">
        <v>44378</v>
      </c>
      <c r="B45" s="744">
        <v>8665049</v>
      </c>
      <c r="C45" s="6">
        <v>8665049</v>
      </c>
      <c r="D45" s="745">
        <v>0</v>
      </c>
      <c r="E45" s="6"/>
      <c r="F45" s="746">
        <v>0</v>
      </c>
      <c r="G45" s="747">
        <f t="shared" si="0"/>
        <v>414601</v>
      </c>
      <c r="H45" s="6">
        <v>481510</v>
      </c>
      <c r="I45" s="748">
        <f t="shared" si="1"/>
        <v>66909</v>
      </c>
      <c r="J45" s="6">
        <v>66909.009999999995</v>
      </c>
      <c r="K45" s="749">
        <f t="shared" si="2"/>
        <v>-9.9999999947613105E-3</v>
      </c>
      <c r="L45" s="750">
        <v>66909</v>
      </c>
    </row>
    <row r="46" spans="1:12" x14ac:dyDescent="0.2">
      <c r="A46" s="743">
        <v>44409</v>
      </c>
      <c r="B46" s="744">
        <v>8665049</v>
      </c>
      <c r="C46" s="6">
        <v>8665049</v>
      </c>
      <c r="D46" s="745">
        <v>0</v>
      </c>
      <c r="E46" s="6"/>
      <c r="F46" s="746">
        <v>0</v>
      </c>
      <c r="G46" s="747">
        <f t="shared" si="0"/>
        <v>481510</v>
      </c>
      <c r="H46" s="6">
        <v>543060</v>
      </c>
      <c r="I46" s="748">
        <f t="shared" si="1"/>
        <v>61550</v>
      </c>
      <c r="J46" s="6">
        <v>61550</v>
      </c>
      <c r="K46" s="749">
        <f t="shared" si="2"/>
        <v>0</v>
      </c>
      <c r="L46" s="750">
        <v>61550</v>
      </c>
    </row>
    <row r="47" spans="1:12" x14ac:dyDescent="0.2">
      <c r="A47" s="743">
        <v>44440</v>
      </c>
      <c r="B47" s="744">
        <v>8665049</v>
      </c>
      <c r="C47" s="6">
        <v>8665049</v>
      </c>
      <c r="D47" s="745">
        <v>0</v>
      </c>
      <c r="E47" s="6"/>
      <c r="F47" s="746">
        <v>0</v>
      </c>
      <c r="G47" s="747">
        <f t="shared" si="0"/>
        <v>543060</v>
      </c>
      <c r="H47" s="6">
        <v>601131</v>
      </c>
      <c r="I47" s="748">
        <f t="shared" si="1"/>
        <v>58071</v>
      </c>
      <c r="J47" s="6">
        <v>58070</v>
      </c>
      <c r="K47" s="749">
        <f t="shared" si="2"/>
        <v>1</v>
      </c>
      <c r="L47" s="750">
        <v>-9208109</v>
      </c>
    </row>
    <row r="48" spans="1:12" x14ac:dyDescent="0.2">
      <c r="A48" s="743">
        <v>44470</v>
      </c>
      <c r="B48" s="744">
        <v>8665049</v>
      </c>
      <c r="C48" s="6">
        <v>8665049</v>
      </c>
      <c r="D48" s="745">
        <v>0</v>
      </c>
      <c r="E48" s="6"/>
      <c r="F48" s="746">
        <v>0</v>
      </c>
      <c r="G48" s="747">
        <f>H47</f>
        <v>601131</v>
      </c>
      <c r="H48" s="6">
        <v>658934</v>
      </c>
      <c r="I48" s="748">
        <f>H48-G48</f>
        <v>57803</v>
      </c>
      <c r="J48" s="6">
        <v>57803</v>
      </c>
      <c r="K48" s="749">
        <f t="shared" si="2"/>
        <v>0</v>
      </c>
      <c r="L48" s="750">
        <v>0</v>
      </c>
    </row>
    <row r="49" spans="1:12" x14ac:dyDescent="0.2">
      <c r="A49" s="743">
        <v>44501</v>
      </c>
      <c r="B49" s="744">
        <v>8665049</v>
      </c>
      <c r="C49" s="6">
        <v>8665049</v>
      </c>
      <c r="D49" s="745">
        <v>0</v>
      </c>
      <c r="E49" s="6"/>
      <c r="F49" s="746">
        <v>0</v>
      </c>
      <c r="G49" s="747">
        <f t="shared" ref="G49:G74" si="3">H48</f>
        <v>658934</v>
      </c>
      <c r="H49" s="6">
        <v>708772</v>
      </c>
      <c r="I49" s="748">
        <f t="shared" ref="I49:I74" si="4">H49-G49</f>
        <v>49838</v>
      </c>
      <c r="J49" s="6">
        <v>49838</v>
      </c>
      <c r="K49" s="749">
        <f>I49-J49</f>
        <v>0</v>
      </c>
      <c r="L49" s="750">
        <v>0</v>
      </c>
    </row>
    <row r="50" spans="1:12" x14ac:dyDescent="0.2">
      <c r="A50" s="743">
        <v>44531</v>
      </c>
      <c r="B50" s="744">
        <v>8665049</v>
      </c>
      <c r="C50" s="6">
        <v>8665049</v>
      </c>
      <c r="D50" s="745">
        <v>0</v>
      </c>
      <c r="E50" s="6"/>
      <c r="F50" s="746">
        <v>0</v>
      </c>
      <c r="G50" s="747">
        <f t="shared" si="3"/>
        <v>708772</v>
      </c>
      <c r="H50" s="6">
        <v>763791</v>
      </c>
      <c r="I50" s="748">
        <f t="shared" si="4"/>
        <v>55019</v>
      </c>
      <c r="J50" s="6">
        <v>55019</v>
      </c>
      <c r="K50" s="749">
        <f t="shared" ref="K50:K74" si="5">I50-J50</f>
        <v>0</v>
      </c>
      <c r="L50" s="750">
        <v>0</v>
      </c>
    </row>
    <row r="51" spans="1:12" x14ac:dyDescent="0.2">
      <c r="A51" s="743">
        <v>44562</v>
      </c>
      <c r="B51" s="744">
        <v>0</v>
      </c>
      <c r="C51" s="6"/>
      <c r="D51" s="745">
        <v>0</v>
      </c>
      <c r="E51" s="6"/>
      <c r="F51" s="746">
        <v>0</v>
      </c>
      <c r="G51" s="747">
        <f t="shared" si="3"/>
        <v>763791</v>
      </c>
      <c r="H51" s="6"/>
      <c r="I51" s="748">
        <f t="shared" si="4"/>
        <v>-763791</v>
      </c>
      <c r="J51" s="6"/>
      <c r="K51" s="749">
        <f t="shared" si="5"/>
        <v>-763791</v>
      </c>
      <c r="L51" s="750">
        <v>0</v>
      </c>
    </row>
    <row r="52" spans="1:12" x14ac:dyDescent="0.2">
      <c r="A52" s="743">
        <v>44593</v>
      </c>
      <c r="B52" s="744">
        <v>0</v>
      </c>
      <c r="C52" s="6"/>
      <c r="D52" s="745">
        <v>0</v>
      </c>
      <c r="E52" s="6"/>
      <c r="F52" s="746">
        <v>0</v>
      </c>
      <c r="G52" s="747">
        <f t="shared" si="3"/>
        <v>0</v>
      </c>
      <c r="H52" s="6"/>
      <c r="I52" s="748">
        <f t="shared" si="4"/>
        <v>0</v>
      </c>
      <c r="J52" s="6"/>
      <c r="K52" s="749">
        <f t="shared" si="5"/>
        <v>0</v>
      </c>
      <c r="L52" s="750">
        <v>0</v>
      </c>
    </row>
    <row r="53" spans="1:12" x14ac:dyDescent="0.2">
      <c r="A53" s="743">
        <v>44621</v>
      </c>
      <c r="B53" s="744">
        <v>0</v>
      </c>
      <c r="C53" s="6"/>
      <c r="D53" s="745">
        <v>0</v>
      </c>
      <c r="E53" s="6"/>
      <c r="F53" s="746">
        <v>0</v>
      </c>
      <c r="G53" s="747">
        <f t="shared" si="3"/>
        <v>0</v>
      </c>
      <c r="H53" s="6"/>
      <c r="I53" s="748">
        <f t="shared" si="4"/>
        <v>0</v>
      </c>
      <c r="J53" s="6"/>
      <c r="K53" s="749">
        <f t="shared" si="5"/>
        <v>0</v>
      </c>
      <c r="L53" s="750">
        <v>0</v>
      </c>
    </row>
    <row r="54" spans="1:12" x14ac:dyDescent="0.2">
      <c r="A54" s="743">
        <v>44652</v>
      </c>
      <c r="B54" s="744">
        <v>0</v>
      </c>
      <c r="C54" s="6"/>
      <c r="D54" s="745">
        <v>0</v>
      </c>
      <c r="E54" s="6"/>
      <c r="F54" s="746">
        <v>0</v>
      </c>
      <c r="G54" s="747">
        <f t="shared" si="3"/>
        <v>0</v>
      </c>
      <c r="H54" s="6"/>
      <c r="I54" s="748">
        <f t="shared" si="4"/>
        <v>0</v>
      </c>
      <c r="J54" s="6"/>
      <c r="K54" s="749">
        <f t="shared" si="5"/>
        <v>0</v>
      </c>
      <c r="L54" s="750">
        <v>0</v>
      </c>
    </row>
    <row r="55" spans="1:12" x14ac:dyDescent="0.2">
      <c r="A55" s="743">
        <v>44682</v>
      </c>
      <c r="B55" s="744">
        <v>0</v>
      </c>
      <c r="C55" s="6"/>
      <c r="D55" s="745">
        <v>0</v>
      </c>
      <c r="E55" s="6"/>
      <c r="F55" s="746">
        <v>0</v>
      </c>
      <c r="G55" s="747">
        <f t="shared" si="3"/>
        <v>0</v>
      </c>
      <c r="H55" s="6"/>
      <c r="I55" s="748">
        <f t="shared" si="4"/>
        <v>0</v>
      </c>
      <c r="J55" s="6"/>
      <c r="K55" s="749">
        <f t="shared" si="5"/>
        <v>0</v>
      </c>
      <c r="L55" s="750">
        <v>0</v>
      </c>
    </row>
    <row r="56" spans="1:12" ht="12.75" customHeight="1" x14ac:dyDescent="0.2">
      <c r="A56" s="743">
        <v>44713</v>
      </c>
      <c r="B56" s="744">
        <v>0</v>
      </c>
      <c r="C56" s="6"/>
      <c r="D56" s="745">
        <v>0</v>
      </c>
      <c r="E56" s="6"/>
      <c r="F56" s="746">
        <v>0</v>
      </c>
      <c r="G56" s="747">
        <f t="shared" si="3"/>
        <v>0</v>
      </c>
      <c r="H56" s="6"/>
      <c r="I56" s="748">
        <f t="shared" si="4"/>
        <v>0</v>
      </c>
      <c r="J56" s="6"/>
      <c r="K56" s="749">
        <f t="shared" si="5"/>
        <v>0</v>
      </c>
      <c r="L56" s="750">
        <v>0</v>
      </c>
    </row>
    <row r="57" spans="1:12" ht="13.5" customHeight="1" x14ac:dyDescent="0.2">
      <c r="A57" s="743">
        <v>44743</v>
      </c>
      <c r="B57" s="744">
        <v>0</v>
      </c>
      <c r="C57" s="6"/>
      <c r="D57" s="745">
        <v>0</v>
      </c>
      <c r="E57" s="6"/>
      <c r="F57" s="746">
        <v>0</v>
      </c>
      <c r="G57" s="747">
        <f t="shared" si="3"/>
        <v>0</v>
      </c>
      <c r="H57" s="6"/>
      <c r="I57" s="748">
        <f t="shared" si="4"/>
        <v>0</v>
      </c>
      <c r="J57" s="6"/>
      <c r="K57" s="749">
        <f t="shared" si="5"/>
        <v>0</v>
      </c>
      <c r="L57" s="750">
        <v>0</v>
      </c>
    </row>
    <row r="58" spans="1:12" x14ac:dyDescent="0.2">
      <c r="A58" s="743">
        <v>44774</v>
      </c>
      <c r="B58" s="744">
        <v>0</v>
      </c>
      <c r="C58" s="6"/>
      <c r="D58" s="745">
        <v>0</v>
      </c>
      <c r="E58" s="6"/>
      <c r="F58" s="746">
        <v>0</v>
      </c>
      <c r="G58" s="747">
        <f t="shared" si="3"/>
        <v>0</v>
      </c>
      <c r="H58" s="6"/>
      <c r="I58" s="748">
        <f t="shared" si="4"/>
        <v>0</v>
      </c>
      <c r="J58" s="6"/>
      <c r="K58" s="749">
        <f t="shared" si="5"/>
        <v>0</v>
      </c>
      <c r="L58" s="750">
        <v>0</v>
      </c>
    </row>
    <row r="59" spans="1:12" x14ac:dyDescent="0.2">
      <c r="A59" s="743">
        <v>44805</v>
      </c>
      <c r="B59" s="744">
        <v>0</v>
      </c>
      <c r="C59" s="6"/>
      <c r="D59" s="745">
        <v>0</v>
      </c>
      <c r="E59" s="6"/>
      <c r="F59" s="746">
        <v>0</v>
      </c>
      <c r="G59" s="747">
        <f t="shared" si="3"/>
        <v>0</v>
      </c>
      <c r="H59" s="6"/>
      <c r="I59" s="748">
        <f t="shared" si="4"/>
        <v>0</v>
      </c>
      <c r="J59" s="6"/>
      <c r="K59" s="749">
        <f t="shared" si="5"/>
        <v>0</v>
      </c>
      <c r="L59" s="750">
        <v>0</v>
      </c>
    </row>
    <row r="60" spans="1:12" x14ac:dyDescent="0.2">
      <c r="A60" s="743">
        <v>44835</v>
      </c>
      <c r="B60" s="744">
        <v>0</v>
      </c>
      <c r="C60" s="6"/>
      <c r="D60" s="745">
        <v>0</v>
      </c>
      <c r="E60" s="6"/>
      <c r="F60" s="746">
        <v>0</v>
      </c>
      <c r="G60" s="747">
        <f t="shared" si="3"/>
        <v>0</v>
      </c>
      <c r="H60" s="6"/>
      <c r="I60" s="748">
        <f t="shared" si="4"/>
        <v>0</v>
      </c>
      <c r="J60" s="6"/>
      <c r="K60" s="749">
        <f t="shared" si="5"/>
        <v>0</v>
      </c>
      <c r="L60" s="750">
        <v>0</v>
      </c>
    </row>
    <row r="61" spans="1:12" x14ac:dyDescent="0.2">
      <c r="A61" s="743">
        <v>44866</v>
      </c>
      <c r="B61" s="744">
        <v>0</v>
      </c>
      <c r="C61" s="6"/>
      <c r="D61" s="745">
        <v>0</v>
      </c>
      <c r="E61" s="6"/>
      <c r="F61" s="746">
        <v>0</v>
      </c>
      <c r="G61" s="747">
        <f t="shared" si="3"/>
        <v>0</v>
      </c>
      <c r="H61" s="6"/>
      <c r="I61" s="748">
        <f t="shared" si="4"/>
        <v>0</v>
      </c>
      <c r="J61" s="6"/>
      <c r="K61" s="749">
        <f t="shared" si="5"/>
        <v>0</v>
      </c>
      <c r="L61" s="750">
        <v>0</v>
      </c>
    </row>
    <row r="62" spans="1:12" x14ac:dyDescent="0.2">
      <c r="A62" s="743">
        <v>44896</v>
      </c>
      <c r="B62" s="744">
        <v>0</v>
      </c>
      <c r="C62" s="6"/>
      <c r="D62" s="745">
        <v>0</v>
      </c>
      <c r="E62" s="6"/>
      <c r="F62" s="746">
        <v>0</v>
      </c>
      <c r="G62" s="747">
        <f t="shared" si="3"/>
        <v>0</v>
      </c>
      <c r="H62" s="6"/>
      <c r="I62" s="748">
        <f t="shared" si="4"/>
        <v>0</v>
      </c>
      <c r="J62" s="6"/>
      <c r="K62" s="749">
        <f t="shared" si="5"/>
        <v>0</v>
      </c>
      <c r="L62" s="750">
        <v>0</v>
      </c>
    </row>
    <row r="63" spans="1:12" x14ac:dyDescent="0.2">
      <c r="A63" s="743">
        <v>44562</v>
      </c>
      <c r="B63" s="744">
        <v>0</v>
      </c>
      <c r="C63" s="6"/>
      <c r="D63" s="745">
        <v>0</v>
      </c>
      <c r="E63" s="6"/>
      <c r="F63" s="746">
        <v>0</v>
      </c>
      <c r="G63" s="747">
        <f t="shared" si="3"/>
        <v>0</v>
      </c>
      <c r="H63" s="6"/>
      <c r="I63" s="748">
        <f t="shared" si="4"/>
        <v>0</v>
      </c>
      <c r="J63" s="6"/>
      <c r="K63" s="749">
        <f t="shared" si="5"/>
        <v>0</v>
      </c>
      <c r="L63" s="750">
        <v>0</v>
      </c>
    </row>
    <row r="64" spans="1:12" x14ac:dyDescent="0.2">
      <c r="A64" s="743">
        <v>44593</v>
      </c>
      <c r="B64" s="744">
        <v>0</v>
      </c>
      <c r="C64" s="6"/>
      <c r="D64" s="745">
        <v>0</v>
      </c>
      <c r="E64" s="6"/>
      <c r="F64" s="746">
        <v>0</v>
      </c>
      <c r="G64" s="747">
        <f t="shared" si="3"/>
        <v>0</v>
      </c>
      <c r="H64" s="6"/>
      <c r="I64" s="748">
        <f t="shared" si="4"/>
        <v>0</v>
      </c>
      <c r="J64" s="6"/>
      <c r="K64" s="749">
        <f t="shared" si="5"/>
        <v>0</v>
      </c>
      <c r="L64" s="750">
        <v>0</v>
      </c>
    </row>
    <row r="65" spans="1:12" x14ac:dyDescent="0.2">
      <c r="A65" s="743">
        <v>44621</v>
      </c>
      <c r="B65" s="744">
        <v>0</v>
      </c>
      <c r="C65" s="6"/>
      <c r="D65" s="745">
        <v>0</v>
      </c>
      <c r="E65" s="6"/>
      <c r="F65" s="746">
        <v>0</v>
      </c>
      <c r="G65" s="747">
        <f t="shared" si="3"/>
        <v>0</v>
      </c>
      <c r="H65" s="6"/>
      <c r="I65" s="748">
        <f t="shared" si="4"/>
        <v>0</v>
      </c>
      <c r="J65" s="6"/>
      <c r="K65" s="749">
        <f t="shared" si="5"/>
        <v>0</v>
      </c>
      <c r="L65" s="750">
        <v>0</v>
      </c>
    </row>
    <row r="66" spans="1:12" x14ac:dyDescent="0.2">
      <c r="A66" s="743">
        <v>44652</v>
      </c>
      <c r="B66" s="744">
        <v>0</v>
      </c>
      <c r="C66" s="6"/>
      <c r="D66" s="745">
        <v>0</v>
      </c>
      <c r="E66" s="6"/>
      <c r="F66" s="746">
        <v>0</v>
      </c>
      <c r="G66" s="747">
        <f t="shared" si="3"/>
        <v>0</v>
      </c>
      <c r="H66" s="6"/>
      <c r="I66" s="748">
        <f t="shared" si="4"/>
        <v>0</v>
      </c>
      <c r="J66" s="6"/>
      <c r="K66" s="749">
        <f t="shared" si="5"/>
        <v>0</v>
      </c>
      <c r="L66" s="750">
        <v>0</v>
      </c>
    </row>
    <row r="67" spans="1:12" x14ac:dyDescent="0.2">
      <c r="A67" s="743">
        <v>44682</v>
      </c>
      <c r="B67" s="744">
        <v>0</v>
      </c>
      <c r="C67" s="6"/>
      <c r="D67" s="745">
        <v>0</v>
      </c>
      <c r="E67" s="6"/>
      <c r="F67" s="746">
        <v>0</v>
      </c>
      <c r="G67" s="747">
        <f t="shared" si="3"/>
        <v>0</v>
      </c>
      <c r="H67" s="6"/>
      <c r="I67" s="748">
        <f t="shared" si="4"/>
        <v>0</v>
      </c>
      <c r="J67" s="6"/>
      <c r="K67" s="749">
        <f t="shared" si="5"/>
        <v>0</v>
      </c>
      <c r="L67" s="750">
        <v>0</v>
      </c>
    </row>
    <row r="68" spans="1:12" x14ac:dyDescent="0.2">
      <c r="A68" s="743">
        <v>44713</v>
      </c>
      <c r="B68" s="744">
        <v>0</v>
      </c>
      <c r="C68" s="6"/>
      <c r="D68" s="745">
        <v>0</v>
      </c>
      <c r="E68" s="6"/>
      <c r="F68" s="746">
        <v>0</v>
      </c>
      <c r="G68" s="747">
        <f t="shared" si="3"/>
        <v>0</v>
      </c>
      <c r="H68" s="6"/>
      <c r="I68" s="748">
        <f t="shared" si="4"/>
        <v>0</v>
      </c>
      <c r="J68" s="6"/>
      <c r="K68" s="749">
        <f t="shared" si="5"/>
        <v>0</v>
      </c>
      <c r="L68" s="750">
        <v>0</v>
      </c>
    </row>
    <row r="69" spans="1:12" x14ac:dyDescent="0.2">
      <c r="A69" s="743">
        <v>44743</v>
      </c>
      <c r="B69" s="744">
        <v>0</v>
      </c>
      <c r="C69" s="6"/>
      <c r="D69" s="745">
        <v>0</v>
      </c>
      <c r="E69" s="6"/>
      <c r="F69" s="746">
        <v>0</v>
      </c>
      <c r="G69" s="747">
        <f t="shared" si="3"/>
        <v>0</v>
      </c>
      <c r="H69" s="6"/>
      <c r="I69" s="748">
        <f t="shared" si="4"/>
        <v>0</v>
      </c>
      <c r="J69" s="6"/>
      <c r="K69" s="749">
        <f t="shared" si="5"/>
        <v>0</v>
      </c>
      <c r="L69" s="750">
        <v>0</v>
      </c>
    </row>
    <row r="70" spans="1:12" x14ac:dyDescent="0.2">
      <c r="A70" s="743">
        <v>44774</v>
      </c>
      <c r="B70" s="744">
        <v>0</v>
      </c>
      <c r="C70" s="6"/>
      <c r="D70" s="745">
        <v>0</v>
      </c>
      <c r="E70" s="6"/>
      <c r="F70" s="746">
        <v>0</v>
      </c>
      <c r="G70" s="747">
        <f t="shared" si="3"/>
        <v>0</v>
      </c>
      <c r="H70" s="6"/>
      <c r="I70" s="748">
        <f t="shared" si="4"/>
        <v>0</v>
      </c>
      <c r="J70" s="6"/>
      <c r="K70" s="749">
        <f t="shared" si="5"/>
        <v>0</v>
      </c>
      <c r="L70" s="750">
        <v>0</v>
      </c>
    </row>
    <row r="71" spans="1:12" x14ac:dyDescent="0.2">
      <c r="A71" s="743">
        <v>44805</v>
      </c>
      <c r="B71" s="744">
        <v>0</v>
      </c>
      <c r="C71" s="6"/>
      <c r="D71" s="745">
        <v>0</v>
      </c>
      <c r="E71" s="6"/>
      <c r="F71" s="746">
        <v>0</v>
      </c>
      <c r="G71" s="747">
        <f t="shared" si="3"/>
        <v>0</v>
      </c>
      <c r="H71" s="6"/>
      <c r="I71" s="748">
        <f t="shared" si="4"/>
        <v>0</v>
      </c>
      <c r="J71" s="6"/>
      <c r="K71" s="749">
        <f t="shared" si="5"/>
        <v>0</v>
      </c>
      <c r="L71" s="750">
        <v>0</v>
      </c>
    </row>
    <row r="72" spans="1:12" x14ac:dyDescent="0.2">
      <c r="A72" s="743">
        <v>44835</v>
      </c>
      <c r="B72" s="744">
        <v>0</v>
      </c>
      <c r="C72" s="6"/>
      <c r="D72" s="745">
        <v>0</v>
      </c>
      <c r="E72" s="6"/>
      <c r="F72" s="746">
        <v>0</v>
      </c>
      <c r="G72" s="747">
        <f t="shared" si="3"/>
        <v>0</v>
      </c>
      <c r="H72" s="6"/>
      <c r="I72" s="748">
        <f t="shared" si="4"/>
        <v>0</v>
      </c>
      <c r="J72" s="6"/>
      <c r="K72" s="749">
        <f t="shared" si="5"/>
        <v>0</v>
      </c>
      <c r="L72" s="750">
        <v>0</v>
      </c>
    </row>
    <row r="73" spans="1:12" x14ac:dyDescent="0.2">
      <c r="A73" s="743">
        <v>44866</v>
      </c>
      <c r="B73" s="744">
        <v>0</v>
      </c>
      <c r="C73" s="6"/>
      <c r="D73" s="745">
        <v>0</v>
      </c>
      <c r="E73" s="6"/>
      <c r="F73" s="746">
        <v>0</v>
      </c>
      <c r="G73" s="747">
        <f t="shared" si="3"/>
        <v>0</v>
      </c>
      <c r="H73" s="6"/>
      <c r="I73" s="748">
        <f t="shared" si="4"/>
        <v>0</v>
      </c>
      <c r="J73" s="6"/>
      <c r="K73" s="749">
        <f t="shared" si="5"/>
        <v>0</v>
      </c>
      <c r="L73" s="750">
        <v>0</v>
      </c>
    </row>
    <row r="74" spans="1:12" x14ac:dyDescent="0.2">
      <c r="A74" s="743">
        <v>44896</v>
      </c>
      <c r="B74" s="744">
        <v>0</v>
      </c>
      <c r="C74" s="6"/>
      <c r="D74" s="745">
        <v>0</v>
      </c>
      <c r="E74" s="6"/>
      <c r="F74" s="746">
        <v>0</v>
      </c>
      <c r="G74" s="747">
        <f t="shared" si="3"/>
        <v>0</v>
      </c>
      <c r="H74" s="6"/>
      <c r="I74" s="748">
        <f t="shared" si="4"/>
        <v>0</v>
      </c>
      <c r="J74" s="6"/>
      <c r="K74" s="749">
        <f t="shared" si="5"/>
        <v>0</v>
      </c>
      <c r="L74" s="750">
        <v>0</v>
      </c>
    </row>
    <row r="76" spans="1:12" x14ac:dyDescent="0.2">
      <c r="B76" s="1042"/>
      <c r="C76" s="1043"/>
      <c r="D76" s="1043"/>
      <c r="E76" s="1043"/>
      <c r="H76" s="1042"/>
      <c r="I76" s="1043"/>
      <c r="J76" s="1043"/>
      <c r="K76" s="1043"/>
      <c r="L76" s="1043"/>
    </row>
    <row r="77" spans="1:12" x14ac:dyDescent="0.2">
      <c r="B77" s="1044"/>
      <c r="C77" s="1045"/>
      <c r="D77" s="1045"/>
      <c r="E77" s="1045"/>
      <c r="H77" s="1044"/>
      <c r="I77" s="1045"/>
      <c r="J77" s="1045"/>
      <c r="K77" s="1045"/>
      <c r="L77" s="1045"/>
    </row>
    <row r="78" spans="1:12" x14ac:dyDescent="0.2">
      <c r="B78" s="1044"/>
      <c r="C78" s="1045"/>
      <c r="D78" s="1045"/>
      <c r="E78" s="1045"/>
      <c r="H78" s="1044"/>
      <c r="I78" s="1045"/>
      <c r="J78" s="1045"/>
      <c r="K78" s="1045"/>
      <c r="L78" s="1045"/>
    </row>
    <row r="79" spans="1:12" x14ac:dyDescent="0.2">
      <c r="B79" s="1044"/>
      <c r="C79" s="1045"/>
      <c r="D79" s="1045"/>
      <c r="E79" s="1045"/>
      <c r="H79" s="1044"/>
      <c r="I79" s="1045"/>
      <c r="J79" s="1045"/>
      <c r="K79" s="1045"/>
      <c r="L79" s="1045"/>
    </row>
    <row r="80" spans="1:12" x14ac:dyDescent="0.2">
      <c r="B80" s="1044"/>
      <c r="C80" s="1045"/>
      <c r="D80" s="1045"/>
      <c r="E80" s="1045"/>
      <c r="H80" s="1044"/>
      <c r="I80" s="1045"/>
      <c r="J80" s="1045"/>
      <c r="K80" s="1045"/>
      <c r="L80" s="1045"/>
    </row>
    <row r="81" spans="2:12" x14ac:dyDescent="0.2">
      <c r="B81" s="1044"/>
      <c r="C81" s="1045"/>
      <c r="D81" s="1045"/>
      <c r="E81" s="1045"/>
      <c r="H81" s="1044"/>
      <c r="I81" s="1045"/>
      <c r="J81" s="1045"/>
      <c r="K81" s="1045"/>
      <c r="L81" s="1045"/>
    </row>
    <row r="82" spans="2:12" x14ac:dyDescent="0.2">
      <c r="B82" s="1044"/>
      <c r="C82" s="1045"/>
      <c r="D82" s="1045"/>
      <c r="E82" s="1045"/>
      <c r="H82" s="1044"/>
      <c r="I82" s="1045"/>
      <c r="J82" s="1045"/>
      <c r="K82" s="1045"/>
      <c r="L82" s="1045"/>
    </row>
    <row r="83" spans="2:12" x14ac:dyDescent="0.2">
      <c r="B83" s="1044"/>
      <c r="C83" s="1045"/>
      <c r="D83" s="1045"/>
      <c r="E83" s="1045"/>
      <c r="H83" s="1044"/>
      <c r="I83" s="1045"/>
      <c r="J83" s="1045"/>
      <c r="K83" s="1045"/>
      <c r="L83" s="1045"/>
    </row>
    <row r="84" spans="2:12" x14ac:dyDescent="0.2">
      <c r="B84" s="1044"/>
      <c r="C84" s="1045"/>
      <c r="D84" s="1045"/>
      <c r="E84" s="1045"/>
      <c r="H84" s="1044"/>
      <c r="I84" s="1045"/>
      <c r="J84" s="1045"/>
      <c r="K84" s="1045"/>
      <c r="L84" s="1045"/>
    </row>
    <row r="85" spans="2:12" x14ac:dyDescent="0.2">
      <c r="B85" s="1044"/>
      <c r="C85" s="1045"/>
      <c r="D85" s="1045"/>
      <c r="E85" s="1045"/>
      <c r="H85" s="1044"/>
      <c r="I85" s="1045"/>
      <c r="J85" s="1045"/>
      <c r="K85" s="1045"/>
      <c r="L85" s="1045"/>
    </row>
    <row r="86" spans="2:12" x14ac:dyDescent="0.2">
      <c r="B86" s="1044"/>
      <c r="C86" s="1045"/>
      <c r="D86" s="1045"/>
      <c r="E86" s="1045"/>
      <c r="H86" s="1044"/>
      <c r="I86" s="1045"/>
      <c r="J86" s="1045"/>
      <c r="K86" s="1045"/>
      <c r="L86" s="1045"/>
    </row>
    <row r="87" spans="2:12" x14ac:dyDescent="0.2">
      <c r="B87" s="1044"/>
      <c r="C87" s="1045"/>
      <c r="D87" s="1045"/>
      <c r="E87" s="1045"/>
      <c r="H87" s="1044"/>
      <c r="I87" s="1045"/>
      <c r="J87" s="1045"/>
      <c r="K87" s="1045"/>
      <c r="L87" s="1045"/>
    </row>
    <row r="88" spans="2:12" x14ac:dyDescent="0.2">
      <c r="B88" s="1044"/>
      <c r="C88" s="1045"/>
      <c r="D88" s="1045"/>
      <c r="E88" s="1045"/>
      <c r="H88" s="1044"/>
      <c r="I88" s="1045"/>
      <c r="J88" s="1045"/>
      <c r="K88" s="1045"/>
      <c r="L88" s="1045"/>
    </row>
    <row r="89" spans="2:12" x14ac:dyDescent="0.2">
      <c r="B89" s="1044"/>
      <c r="C89" s="1045"/>
      <c r="D89" s="1045"/>
      <c r="E89" s="1045"/>
      <c r="H89" s="1044"/>
      <c r="I89" s="1045"/>
      <c r="J89" s="1045"/>
      <c r="K89" s="1045"/>
      <c r="L89" s="1045"/>
    </row>
    <row r="90" spans="2:12" x14ac:dyDescent="0.2">
      <c r="B90" s="1044"/>
      <c r="C90" s="1045"/>
      <c r="D90" s="1045"/>
      <c r="E90" s="1045"/>
      <c r="H90" s="1044"/>
      <c r="I90" s="1045"/>
      <c r="J90" s="1045"/>
      <c r="K90" s="1045"/>
      <c r="L90" s="1045"/>
    </row>
    <row r="91" spans="2:12" x14ac:dyDescent="0.2">
      <c r="B91" s="1046" t="s">
        <v>349</v>
      </c>
      <c r="C91" s="1047"/>
      <c r="D91" s="1047"/>
      <c r="E91" s="1047"/>
      <c r="H91" s="1046" t="s">
        <v>350</v>
      </c>
      <c r="I91" s="1047"/>
      <c r="J91" s="1047"/>
      <c r="K91" s="1047"/>
      <c r="L91" s="1047"/>
    </row>
    <row r="92" spans="2:12" x14ac:dyDescent="0.2">
      <c r="B92" s="1048"/>
      <c r="C92" s="1049"/>
      <c r="D92" s="1049"/>
      <c r="E92" s="1049"/>
      <c r="H92" s="1048"/>
      <c r="I92" s="1049"/>
      <c r="J92" s="1049"/>
      <c r="K92" s="1049"/>
      <c r="L92" s="1049"/>
    </row>
    <row r="93" spans="2:12" x14ac:dyDescent="0.2">
      <c r="B93" s="1048"/>
      <c r="C93" s="1049"/>
      <c r="D93" s="1049"/>
      <c r="E93" s="1049"/>
      <c r="H93" s="1048"/>
      <c r="I93" s="1049"/>
      <c r="J93" s="1049"/>
      <c r="K93" s="1049"/>
      <c r="L93" s="1049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5"/>
  <sheetViews>
    <sheetView topLeftCell="A7" workbookViewId="0">
      <selection activeCell="D33" sqref="D33"/>
    </sheetView>
  </sheetViews>
  <sheetFormatPr defaultRowHeight="12.75" x14ac:dyDescent="0.2"/>
  <cols>
    <col min="3" max="3" width="18" customWidth="1"/>
    <col min="4" max="10" width="17.5703125" customWidth="1"/>
  </cols>
  <sheetData>
    <row r="1" spans="1:10" ht="26.25" x14ac:dyDescent="0.4">
      <c r="A1" s="1050" t="s">
        <v>351</v>
      </c>
      <c r="B1" s="1050"/>
      <c r="C1" s="1050"/>
      <c r="D1" s="1050"/>
      <c r="E1" s="1050"/>
      <c r="F1" s="1050"/>
      <c r="G1" s="1050"/>
      <c r="H1" s="1050"/>
      <c r="I1" s="1050"/>
      <c r="J1" s="1050"/>
    </row>
    <row r="2" spans="1:10" ht="19.5" thickBot="1" x14ac:dyDescent="0.35">
      <c r="A2" s="1059">
        <f>A5</f>
        <v>44531</v>
      </c>
      <c r="B2" s="1060"/>
      <c r="C2" s="1060"/>
      <c r="D2" s="1060"/>
      <c r="E2" s="1060"/>
      <c r="F2" s="1060"/>
      <c r="G2" s="1060"/>
      <c r="H2" s="1060"/>
      <c r="I2" s="1060"/>
      <c r="J2" s="1060"/>
    </row>
    <row r="3" spans="1:10" ht="15.75" thickBot="1" x14ac:dyDescent="0.3">
      <c r="A3" s="1051" t="s">
        <v>227</v>
      </c>
      <c r="B3" s="1053" t="s">
        <v>352</v>
      </c>
      <c r="C3" s="355"/>
      <c r="D3" s="1055" t="s">
        <v>353</v>
      </c>
      <c r="E3" s="1056"/>
      <c r="F3" s="1057" t="s">
        <v>354</v>
      </c>
      <c r="G3" s="1058"/>
      <c r="H3" s="1056"/>
      <c r="I3" s="1057" t="s">
        <v>355</v>
      </c>
      <c r="J3" s="1056"/>
    </row>
    <row r="4" spans="1:10" ht="30" x14ac:dyDescent="0.25">
      <c r="A4" s="1052"/>
      <c r="B4" s="1054"/>
      <c r="C4" s="359" t="s">
        <v>356</v>
      </c>
      <c r="D4" s="314" t="s">
        <v>357</v>
      </c>
      <c r="E4" s="319" t="s">
        <v>163</v>
      </c>
      <c r="F4" s="314" t="s">
        <v>357</v>
      </c>
      <c r="G4" s="314" t="s">
        <v>358</v>
      </c>
      <c r="H4" s="314" t="s">
        <v>359</v>
      </c>
      <c r="I4" s="314" t="s">
        <v>255</v>
      </c>
      <c r="J4" s="314" t="s">
        <v>360</v>
      </c>
    </row>
    <row r="5" spans="1:10" ht="17.100000000000001" customHeight="1" x14ac:dyDescent="0.25">
      <c r="A5" s="713">
        <f>Gen!B11</f>
        <v>44531</v>
      </c>
      <c r="B5" s="715">
        <f>Gen!C11</f>
        <v>5.1900000000000002E-2</v>
      </c>
      <c r="C5" s="769">
        <f>Gen!AK11</f>
        <v>55.309999999999995</v>
      </c>
      <c r="D5" s="358">
        <f>Gen!T11</f>
        <v>1340.69</v>
      </c>
      <c r="E5" s="316">
        <f>Gen!D11</f>
        <v>43219.56</v>
      </c>
      <c r="F5" s="317">
        <f>'Water-Meter'!E6</f>
        <v>79</v>
      </c>
      <c r="G5" s="318">
        <f>'Water-Meter'!AN6</f>
        <v>132</v>
      </c>
      <c r="H5" s="316">
        <f>'Utility report '!AC6</f>
        <v>35</v>
      </c>
      <c r="I5" s="315">
        <f>'Kit report'!F4</f>
        <v>240</v>
      </c>
      <c r="J5" s="316">
        <f>'Kit report'!X4</f>
        <v>0</v>
      </c>
    </row>
    <row r="6" spans="1:10" ht="17.100000000000001" customHeight="1" x14ac:dyDescent="0.25">
      <c r="A6" s="713">
        <f>Gen!B12</f>
        <v>44532</v>
      </c>
      <c r="B6" s="715">
        <f>Gen!C12</f>
        <v>0.05</v>
      </c>
      <c r="C6" s="769">
        <f>Gen!AK12</f>
        <v>596.04</v>
      </c>
      <c r="D6" s="358">
        <f>Gen!T12</f>
        <v>1268.81</v>
      </c>
      <c r="E6" s="316">
        <f>Gen!D12</f>
        <v>41823.56</v>
      </c>
      <c r="F6" s="317">
        <f>'Water-Meter'!E7</f>
        <v>67</v>
      </c>
      <c r="G6" s="318">
        <f>'Water-Meter'!AN7</f>
        <v>74</v>
      </c>
      <c r="H6" s="316">
        <f>'Utility report '!AC7</f>
        <v>61</v>
      </c>
      <c r="I6" s="315">
        <f>'Kit report'!F5</f>
        <v>240</v>
      </c>
      <c r="J6" s="316">
        <f>'Kit report'!X5</f>
        <v>440.00000000014552</v>
      </c>
    </row>
    <row r="7" spans="1:10" ht="17.100000000000001" customHeight="1" x14ac:dyDescent="0.25">
      <c r="A7" s="713">
        <f>Gen!B13</f>
        <v>44533</v>
      </c>
      <c r="B7" s="715">
        <f>Gen!C13</f>
        <v>0.05</v>
      </c>
      <c r="C7" s="769">
        <f>Gen!AK13</f>
        <v>0</v>
      </c>
      <c r="D7" s="358">
        <f>Gen!T13</f>
        <v>1177.17</v>
      </c>
      <c r="E7" s="316">
        <f>Gen!D13</f>
        <v>39958.71</v>
      </c>
      <c r="F7" s="317">
        <f>'Water-Meter'!E8</f>
        <v>83</v>
      </c>
      <c r="G7" s="318">
        <f>'Water-Meter'!AN8</f>
        <v>84</v>
      </c>
      <c r="H7" s="316">
        <f>'Utility report '!AC8</f>
        <v>50</v>
      </c>
      <c r="I7" s="315">
        <f>'Kit report'!F6</f>
        <v>251.99999999982538</v>
      </c>
      <c r="J7" s="316">
        <f>'Kit report'!X6</f>
        <v>320.00000000007276</v>
      </c>
    </row>
    <row r="8" spans="1:10" ht="17.100000000000001" customHeight="1" x14ac:dyDescent="0.25">
      <c r="A8" s="713">
        <f>Gen!B14</f>
        <v>44534</v>
      </c>
      <c r="B8" s="715">
        <f>Gen!C14</f>
        <v>0.08</v>
      </c>
      <c r="C8" s="769">
        <f>Gen!AK14</f>
        <v>199.51</v>
      </c>
      <c r="D8" s="358">
        <f>Gen!T14</f>
        <v>1293.22</v>
      </c>
      <c r="E8" s="316">
        <f>Gen!D14</f>
        <v>38781.54</v>
      </c>
      <c r="F8" s="317">
        <f>'Water-Meter'!E9</f>
        <v>67</v>
      </c>
      <c r="G8" s="318">
        <f>'Water-Meter'!AN9</f>
        <v>81</v>
      </c>
      <c r="H8" s="316">
        <f>'Utility report '!AC9</f>
        <v>89</v>
      </c>
      <c r="I8" s="315">
        <f>'Kit report'!F7</f>
        <v>276.00000000013097</v>
      </c>
      <c r="J8" s="316">
        <f>'Kit report'!X7</f>
        <v>339.99999999978172</v>
      </c>
    </row>
    <row r="9" spans="1:10" ht="17.100000000000001" customHeight="1" x14ac:dyDescent="0.25">
      <c r="A9" s="713">
        <f>Gen!B15</f>
        <v>44535</v>
      </c>
      <c r="B9" s="715">
        <f>Gen!C15</f>
        <v>0.05</v>
      </c>
      <c r="C9" s="769">
        <f>Gen!AK15</f>
        <v>53.33</v>
      </c>
      <c r="D9" s="358">
        <f>Gen!T15</f>
        <v>1246.93</v>
      </c>
      <c r="E9" s="316">
        <f>Gen!D15</f>
        <v>37288.81</v>
      </c>
      <c r="F9" s="317">
        <f>'Water-Meter'!E10</f>
        <v>62</v>
      </c>
      <c r="G9" s="318">
        <f>'Water-Meter'!AN10</f>
        <v>84</v>
      </c>
      <c r="H9" s="316">
        <f>'Utility report '!AC10</f>
        <v>103</v>
      </c>
      <c r="I9" s="315">
        <f>'Kit report'!F8</f>
        <v>215.99999999991269</v>
      </c>
      <c r="J9" s="316">
        <f>'Kit report'!X8</f>
        <v>300</v>
      </c>
    </row>
    <row r="10" spans="1:10" ht="17.100000000000001" customHeight="1" x14ac:dyDescent="0.25">
      <c r="A10" s="713">
        <f>Gen!B16</f>
        <v>44536</v>
      </c>
      <c r="B10" s="715">
        <f>Gen!C16</f>
        <v>7.7899999999999997E-2</v>
      </c>
      <c r="C10" s="769">
        <f>Gen!AK16</f>
        <v>67.400000000000006</v>
      </c>
      <c r="D10" s="358">
        <f>Gen!T16</f>
        <v>1325.89</v>
      </c>
      <c r="E10" s="316">
        <f>Gen!D16</f>
        <v>35988.549999999996</v>
      </c>
      <c r="F10" s="317">
        <f>'Water-Meter'!E11</f>
        <v>57</v>
      </c>
      <c r="G10" s="318">
        <f>'Water-Meter'!AN11</f>
        <v>72</v>
      </c>
      <c r="H10" s="316">
        <f>'Utility report '!AC11</f>
        <v>17</v>
      </c>
      <c r="I10" s="315">
        <f>'Kit report'!F9</f>
        <v>227.99999999995634</v>
      </c>
      <c r="J10" s="316">
        <f>'Kit report'!X9</f>
        <v>320.00000000007276</v>
      </c>
    </row>
    <row r="11" spans="1:10" ht="17.100000000000001" customHeight="1" x14ac:dyDescent="0.25">
      <c r="A11" s="713">
        <f>Gen!B17</f>
        <v>44537</v>
      </c>
      <c r="B11" s="715">
        <f>Gen!C17</f>
        <v>7.7899999999999997E-2</v>
      </c>
      <c r="C11" s="769">
        <f>Gen!AK17</f>
        <v>135.94</v>
      </c>
      <c r="D11" s="358">
        <f>Gen!T17</f>
        <v>1368.94</v>
      </c>
      <c r="E11" s="316">
        <f>Gen!D17</f>
        <v>34595.259999999995</v>
      </c>
      <c r="F11" s="317">
        <f>'Water-Meter'!E12</f>
        <v>73</v>
      </c>
      <c r="G11" s="318">
        <f>'Water-Meter'!AN12</f>
        <v>72</v>
      </c>
      <c r="H11" s="316">
        <f>'Utility report '!AC12</f>
        <v>121</v>
      </c>
      <c r="I11" s="315">
        <f>'Kit report'!F10</f>
        <v>228.00000000017462</v>
      </c>
      <c r="J11" s="316">
        <f>'Kit report'!X10</f>
        <v>320.00000000007276</v>
      </c>
    </row>
    <row r="12" spans="1:10" ht="17.100000000000001" customHeight="1" x14ac:dyDescent="0.25">
      <c r="A12" s="713">
        <f>Gen!B18</f>
        <v>44538</v>
      </c>
      <c r="B12" s="715">
        <f>Gen!C18</f>
        <v>0.12</v>
      </c>
      <c r="C12" s="769">
        <f>Gen!AK18</f>
        <v>83.59</v>
      </c>
      <c r="D12" s="358">
        <f>Gen!T18</f>
        <v>1527.6</v>
      </c>
      <c r="E12" s="316">
        <f>Gen!D18</f>
        <v>33090.379999999997</v>
      </c>
      <c r="F12" s="317">
        <f>'Water-Meter'!E13</f>
        <v>80</v>
      </c>
      <c r="G12" s="318">
        <f>'Water-Meter'!AN13</f>
        <v>144</v>
      </c>
      <c r="H12" s="316">
        <f>'Utility report '!AC13</f>
        <v>170</v>
      </c>
      <c r="I12" s="315">
        <f>'Kit report'!F11</f>
        <v>240</v>
      </c>
      <c r="J12" s="316">
        <f>'Kit report'!X11</f>
        <v>440.00000000014552</v>
      </c>
    </row>
    <row r="13" spans="1:10" ht="17.100000000000001" customHeight="1" x14ac:dyDescent="0.25">
      <c r="A13" s="713">
        <f>Gen!B19</f>
        <v>44539</v>
      </c>
      <c r="B13" s="715">
        <f>Gen!C19</f>
        <v>0.09</v>
      </c>
      <c r="C13" s="769">
        <f>Gen!AK19</f>
        <v>51.98</v>
      </c>
      <c r="D13" s="358">
        <f>Gen!T19</f>
        <v>1371.66</v>
      </c>
      <c r="E13" s="316">
        <f>Gen!D19</f>
        <v>31479.19</v>
      </c>
      <c r="F13" s="317">
        <f>'Water-Meter'!E14</f>
        <v>65</v>
      </c>
      <c r="G13" s="318">
        <f>'Water-Meter'!AN14</f>
        <v>135</v>
      </c>
      <c r="H13" s="316">
        <f>'Utility report '!AC14</f>
        <v>0</v>
      </c>
      <c r="I13" s="315">
        <f>'Kit report'!F12</f>
        <v>240</v>
      </c>
      <c r="J13" s="316">
        <f>'Kit report'!X12</f>
        <v>319.99999999970896</v>
      </c>
    </row>
    <row r="14" spans="1:10" ht="17.100000000000001" customHeight="1" x14ac:dyDescent="0.25">
      <c r="A14" s="713">
        <f>Gen!B20</f>
        <v>44540</v>
      </c>
      <c r="B14" s="715">
        <f>Gen!C20</f>
        <v>0.12</v>
      </c>
      <c r="C14" s="769">
        <f>Gen!AK20</f>
        <v>448.65</v>
      </c>
      <c r="D14" s="358">
        <f>Gen!T20</f>
        <v>1347.33</v>
      </c>
      <c r="E14" s="316">
        <f>Gen!D20</f>
        <v>30055.55</v>
      </c>
      <c r="F14" s="317">
        <f>'Water-Meter'!E15</f>
        <v>71</v>
      </c>
      <c r="G14" s="318">
        <f>'Water-Meter'!AN15</f>
        <v>146</v>
      </c>
      <c r="H14" s="316">
        <f>'Utility report '!AC15</f>
        <v>167</v>
      </c>
      <c r="I14" s="315">
        <f>'Kit report'!F13</f>
        <v>251.99999999982538</v>
      </c>
      <c r="J14" s="316">
        <f>'Kit report'!X13</f>
        <v>380.00000000029104</v>
      </c>
    </row>
    <row r="15" spans="1:10" ht="17.100000000000001" customHeight="1" x14ac:dyDescent="0.25">
      <c r="A15" s="713">
        <f>Gen!B21</f>
        <v>44541</v>
      </c>
      <c r="B15" s="715">
        <f>Gen!C21</f>
        <v>0.12</v>
      </c>
      <c r="C15" s="769">
        <f>Gen!AK21</f>
        <v>37.869999999999997</v>
      </c>
      <c r="D15" s="358">
        <f>Gen!T21</f>
        <v>1512.79</v>
      </c>
      <c r="E15" s="316">
        <f>Gen!D21</f>
        <v>28259.57</v>
      </c>
      <c r="F15" s="317">
        <f>'Water-Meter'!E16</f>
        <v>72</v>
      </c>
      <c r="G15" s="318">
        <f>'Water-Meter'!AN16</f>
        <v>140</v>
      </c>
      <c r="H15" s="316">
        <f>'Utility report '!AC16</f>
        <v>15</v>
      </c>
      <c r="I15" s="315">
        <f>'Kit report'!F14</f>
        <v>228.00000000017462</v>
      </c>
      <c r="J15" s="316">
        <f>'Kit report'!X14</f>
        <v>339.99999999978172</v>
      </c>
    </row>
    <row r="16" spans="1:10" ht="17.100000000000001" customHeight="1" x14ac:dyDescent="0.25">
      <c r="A16" s="713">
        <f>Gen!B22</f>
        <v>44542</v>
      </c>
      <c r="B16" s="715">
        <f>Gen!C22</f>
        <v>0.12</v>
      </c>
      <c r="C16" s="769">
        <f>Gen!AK22</f>
        <v>68.16</v>
      </c>
      <c r="D16" s="358">
        <f>Gen!T22</f>
        <v>1485.24</v>
      </c>
      <c r="E16" s="316">
        <f>Gen!D22</f>
        <v>26708.91</v>
      </c>
      <c r="F16" s="317">
        <f>'Water-Meter'!E17</f>
        <v>65</v>
      </c>
      <c r="G16" s="318">
        <f>'Water-Meter'!AN17</f>
        <v>141</v>
      </c>
      <c r="H16" s="316">
        <f>'Utility report '!AC17</f>
        <v>157</v>
      </c>
      <c r="I16" s="315">
        <f>'Kit report'!F15</f>
        <v>263.99999999986903</v>
      </c>
      <c r="J16" s="316">
        <f>'Kit report'!X15</f>
        <v>440.00000000014552</v>
      </c>
    </row>
    <row r="17" spans="1:10" ht="17.100000000000001" customHeight="1" x14ac:dyDescent="0.25">
      <c r="A17" s="713">
        <f>Gen!B23</f>
        <v>44543</v>
      </c>
      <c r="B17" s="715">
        <f>Gen!C23</f>
        <v>0.16</v>
      </c>
      <c r="C17" s="769">
        <f>Gen!AK23</f>
        <v>103.25</v>
      </c>
      <c r="D17" s="358">
        <f>Gen!T23</f>
        <v>1579.63</v>
      </c>
      <c r="E17" s="316">
        <f>Gen!D23</f>
        <v>25155.51</v>
      </c>
      <c r="F17" s="317">
        <f>'Water-Meter'!E18</f>
        <v>68</v>
      </c>
      <c r="G17" s="318">
        <f>'Water-Meter'!AN18</f>
        <v>146</v>
      </c>
      <c r="H17" s="316">
        <f>'Utility report '!AC18</f>
        <v>44</v>
      </c>
      <c r="I17" s="315">
        <f>'Kit report'!F16</f>
        <v>276.00000000013097</v>
      </c>
      <c r="J17" s="316">
        <f>'Kit report'!X16</f>
        <v>559.99999999985448</v>
      </c>
    </row>
    <row r="18" spans="1:10" ht="17.100000000000001" customHeight="1" x14ac:dyDescent="0.25">
      <c r="A18" s="713">
        <f>Gen!B24</f>
        <v>44544</v>
      </c>
      <c r="B18" s="715">
        <f>Gen!C24</f>
        <v>0.17</v>
      </c>
      <c r="C18" s="769">
        <f>Gen!AK24</f>
        <v>194.5</v>
      </c>
      <c r="D18" s="358">
        <f>Gen!T24</f>
        <v>1342.22</v>
      </c>
      <c r="E18" s="316">
        <f>Gen!D24</f>
        <v>41472.629999999997</v>
      </c>
      <c r="F18" s="317">
        <f>'Water-Meter'!E19</f>
        <v>78</v>
      </c>
      <c r="G18" s="318">
        <f>'Water-Meter'!AN19</f>
        <v>155</v>
      </c>
      <c r="H18" s="316">
        <f>'Utility report '!AC19</f>
        <v>167</v>
      </c>
      <c r="I18" s="315">
        <f>'Kit report'!F17</f>
        <v>251.99999999982538</v>
      </c>
      <c r="J18" s="316">
        <f>'Kit report'!X17</f>
        <v>440.00000000014552</v>
      </c>
    </row>
    <row r="19" spans="1:10" ht="17.100000000000001" customHeight="1" x14ac:dyDescent="0.25">
      <c r="A19" s="713">
        <f>Gen!B25</f>
        <v>44545</v>
      </c>
      <c r="B19" s="715">
        <f>Gen!C25</f>
        <v>0.18</v>
      </c>
      <c r="C19" s="769">
        <f>Gen!AK25</f>
        <v>0</v>
      </c>
      <c r="D19" s="358">
        <f>Gen!T25</f>
        <v>1601.9099999999999</v>
      </c>
      <c r="E19" s="316">
        <f>Gen!D25</f>
        <v>39935.909999999996</v>
      </c>
      <c r="F19" s="317">
        <f>'Water-Meter'!E20</f>
        <v>72</v>
      </c>
      <c r="G19" s="318">
        <f>'Water-Meter'!AN20</f>
        <v>102</v>
      </c>
      <c r="H19" s="316">
        <f>'Utility report '!AC20</f>
        <v>104</v>
      </c>
      <c r="I19" s="315">
        <f>'Kit report'!F18</f>
        <v>240</v>
      </c>
      <c r="J19" s="316">
        <f>'Kit report'!X18</f>
        <v>359.99999999985448</v>
      </c>
    </row>
    <row r="20" spans="1:10" ht="17.100000000000001" customHeight="1" x14ac:dyDescent="0.25">
      <c r="A20" s="713">
        <f>Gen!B26</f>
        <v>44546</v>
      </c>
      <c r="B20" s="715">
        <f>Gen!C26</f>
        <v>0.16</v>
      </c>
      <c r="C20" s="769">
        <f>Gen!AK26</f>
        <v>176.76</v>
      </c>
      <c r="D20" s="358">
        <f>Gen!T26</f>
        <v>1526.57</v>
      </c>
      <c r="E20" s="316">
        <f>Gen!D26</f>
        <v>38334</v>
      </c>
      <c r="F20" s="317">
        <f>'Water-Meter'!E21</f>
        <v>73</v>
      </c>
      <c r="G20" s="318">
        <f>'Water-Meter'!AN21</f>
        <v>91</v>
      </c>
      <c r="H20" s="316">
        <f>'Utility report '!AC21</f>
        <v>82</v>
      </c>
      <c r="I20" s="315">
        <f>'Kit report'!F19</f>
        <v>264.00000000008731</v>
      </c>
      <c r="J20" s="316">
        <f>'Kit report'!X19</f>
        <v>520.00000000007276</v>
      </c>
    </row>
    <row r="21" spans="1:10" ht="15" x14ac:dyDescent="0.25">
      <c r="A21" s="713">
        <f>Gen!B27</f>
        <v>44547</v>
      </c>
      <c r="B21" s="715">
        <f>Gen!C27</f>
        <v>0.16</v>
      </c>
      <c r="C21" s="769">
        <f>Gen!AK27</f>
        <v>115.53</v>
      </c>
      <c r="D21" s="358">
        <f>Gen!T27</f>
        <v>1519.37</v>
      </c>
      <c r="E21" s="316">
        <f>Gen!D27</f>
        <v>51630.67</v>
      </c>
      <c r="F21" s="317">
        <f>'Water-Meter'!E22</f>
        <v>73</v>
      </c>
      <c r="G21" s="318">
        <f>'Water-Meter'!AN22</f>
        <v>109</v>
      </c>
      <c r="H21" s="316">
        <f>'Utility report '!AC22</f>
        <v>7</v>
      </c>
      <c r="I21" s="315">
        <f>'Kit report'!F20</f>
        <v>264.00000000008731</v>
      </c>
      <c r="J21" s="316">
        <f>'Kit report'!X20</f>
        <v>440.00000000014552</v>
      </c>
    </row>
    <row r="22" spans="1:10" ht="15" customHeight="1" x14ac:dyDescent="0.25">
      <c r="A22" s="713">
        <f>Gen!B28</f>
        <v>44548</v>
      </c>
      <c r="B22" s="715">
        <f>Gen!C28</f>
        <v>0.13</v>
      </c>
      <c r="C22" s="769">
        <f>Gen!AK30</f>
        <v>248.49</v>
      </c>
      <c r="D22" s="358">
        <f>Gen!T30</f>
        <v>1280.58</v>
      </c>
      <c r="E22" s="316">
        <f>Gen!D30</f>
        <v>46497.59</v>
      </c>
      <c r="F22" s="317">
        <f>'Water-Meter'!E23</f>
        <v>85</v>
      </c>
      <c r="G22" s="318">
        <f>'Water-Meter'!AN23</f>
        <v>109</v>
      </c>
      <c r="H22" s="316">
        <f>'Utility report '!AC25</f>
        <v>0</v>
      </c>
      <c r="I22" s="315">
        <f>'Kit report'!F23</f>
        <v>227.99999999995634</v>
      </c>
      <c r="J22" s="316">
        <f>'Kit report'!X23</f>
        <v>600</v>
      </c>
    </row>
    <row r="23" spans="1:10" ht="15" customHeight="1" x14ac:dyDescent="0.25">
      <c r="A23" s="713">
        <f>Gen!B29</f>
        <v>44549</v>
      </c>
      <c r="B23" s="715">
        <f>Gen!C29</f>
        <v>0.12</v>
      </c>
      <c r="C23" s="769">
        <f>Gen!AK31</f>
        <v>81</v>
      </c>
      <c r="D23" s="358">
        <f>Gen!T31</f>
        <v>1850.97</v>
      </c>
      <c r="E23" s="316">
        <f>Gen!D31</f>
        <v>44968.52</v>
      </c>
      <c r="F23" s="317">
        <f>'Water-Meter'!E26</f>
        <v>69</v>
      </c>
      <c r="G23" s="318">
        <f>'Water-Meter'!AN24</f>
        <v>115</v>
      </c>
      <c r="H23" s="316">
        <f>'Utility report '!AC26</f>
        <v>86</v>
      </c>
      <c r="I23" s="315">
        <f>'Kit report'!F24</f>
        <v>252.00000000004366</v>
      </c>
      <c r="J23" s="316">
        <f>'Kit report'!X24</f>
        <v>600</v>
      </c>
    </row>
    <row r="24" spans="1:10" ht="15" customHeight="1" x14ac:dyDescent="0.25">
      <c r="A24" s="713">
        <f>Gen!B30</f>
        <v>44550</v>
      </c>
      <c r="B24" s="715">
        <f>Gen!C30</f>
        <v>0.06</v>
      </c>
      <c r="C24" s="769">
        <f>Gen!AK32</f>
        <v>289.43</v>
      </c>
      <c r="D24" s="358">
        <f>Gen!T32</f>
        <v>1693.83</v>
      </c>
      <c r="E24" s="316">
        <f>Gen!D32</f>
        <v>43036.549999999996</v>
      </c>
      <c r="F24" s="317">
        <f>'Water-Meter'!E27</f>
        <v>71</v>
      </c>
      <c r="G24" s="318">
        <f>'Water-Meter'!AN27</f>
        <v>154</v>
      </c>
      <c r="H24" s="316">
        <f>'Utility report '!AC27</f>
        <v>100</v>
      </c>
      <c r="I24" s="315">
        <f>'Kit report'!F25</f>
        <v>263.99999999986903</v>
      </c>
      <c r="J24" s="316">
        <f>'Kit report'!X25</f>
        <v>579.99999999992724</v>
      </c>
    </row>
    <row r="25" spans="1:10" ht="15" customHeight="1" x14ac:dyDescent="0.25">
      <c r="A25" s="713">
        <f>Gen!B31</f>
        <v>44551</v>
      </c>
      <c r="B25" s="715">
        <f>Gen!C31</f>
        <v>0.1</v>
      </c>
      <c r="C25" s="769">
        <f>Gen!AK33</f>
        <v>122.64</v>
      </c>
      <c r="D25" s="358">
        <f>Gen!T33</f>
        <v>1680.85</v>
      </c>
      <c r="E25" s="316">
        <f>Gen!D33</f>
        <v>41053.289999999994</v>
      </c>
      <c r="F25" s="317">
        <f>'Water-Meter'!E28</f>
        <v>85</v>
      </c>
      <c r="G25" s="318">
        <f>'Water-Meter'!AN28</f>
        <v>118</v>
      </c>
      <c r="H25" s="316">
        <f>'Utility report '!AC28</f>
        <v>95</v>
      </c>
      <c r="I25" s="315">
        <f>'Kit report'!F26</f>
        <v>240</v>
      </c>
      <c r="J25" s="316">
        <f>'Kit report'!X26</f>
        <v>620.00000000007276</v>
      </c>
    </row>
    <row r="26" spans="1:10" ht="15" customHeight="1" x14ac:dyDescent="0.25">
      <c r="A26" s="713">
        <f>Gen!B32</f>
        <v>44552</v>
      </c>
      <c r="B26" s="715">
        <f>Gen!C32</f>
        <v>0.17</v>
      </c>
      <c r="C26" s="769">
        <f>Gen!AK34</f>
        <v>0</v>
      </c>
      <c r="D26" s="358">
        <f>Gen!T34</f>
        <v>2112.66</v>
      </c>
      <c r="E26" s="316">
        <f>Gen!D34</f>
        <v>39249.799999999996</v>
      </c>
      <c r="F26" s="317">
        <f>'Water-Meter'!E29</f>
        <v>75</v>
      </c>
      <c r="G26" s="318">
        <f>'Water-Meter'!AN29</f>
        <v>92</v>
      </c>
      <c r="H26" s="316">
        <f>'Utility report '!AC29</f>
        <v>134</v>
      </c>
      <c r="I26" s="315">
        <f>'Kit report'!F27</f>
        <v>276.00000000013097</v>
      </c>
      <c r="J26" s="316">
        <f>'Kit report'!X27</f>
        <v>800</v>
      </c>
    </row>
    <row r="27" spans="1:10" ht="15" customHeight="1" x14ac:dyDescent="0.25">
      <c r="A27" s="713">
        <f>Gen!B33</f>
        <v>44553</v>
      </c>
      <c r="B27" s="715">
        <f>Gen!C33</f>
        <v>0.17</v>
      </c>
      <c r="C27" s="769">
        <f>Gen!AK35</f>
        <v>35.200000000000003</v>
      </c>
      <c r="D27" s="358">
        <f>Gen!T35</f>
        <v>2005.49</v>
      </c>
      <c r="E27" s="316">
        <f>Gen!D35</f>
        <v>37137.14</v>
      </c>
      <c r="F27" s="317">
        <f>'Water-Meter'!E30</f>
        <v>102</v>
      </c>
      <c r="G27" s="318">
        <f>'Water-Meter'!AN30</f>
        <v>127</v>
      </c>
      <c r="H27" s="316">
        <f>'Utility report '!AC30</f>
        <v>85</v>
      </c>
      <c r="I27" s="315">
        <f>'Kit report'!F28</f>
        <v>300</v>
      </c>
      <c r="J27" s="316">
        <f>'Kit report'!X28</f>
        <v>579.99999999992724</v>
      </c>
    </row>
    <row r="28" spans="1:10" ht="15" customHeight="1" x14ac:dyDescent="0.25">
      <c r="A28" s="713">
        <f>Gen!B34</f>
        <v>44554</v>
      </c>
      <c r="B28" s="715">
        <f>Gen!C34</f>
        <v>0.47</v>
      </c>
      <c r="C28" s="769">
        <f>Gen!AK36</f>
        <v>280.98</v>
      </c>
      <c r="D28" s="358">
        <f>Gen!T36</f>
        <v>2169.16</v>
      </c>
      <c r="E28" s="316">
        <f>Gen!D36</f>
        <v>35096.449999999997</v>
      </c>
      <c r="F28" s="317">
        <f>'Water-Meter'!E31</f>
        <v>106</v>
      </c>
      <c r="G28" s="318">
        <f>'Water-Meter'!AN31</f>
        <v>164</v>
      </c>
      <c r="H28" s="316">
        <f>'Utility report '!AC31</f>
        <v>48</v>
      </c>
      <c r="I28" s="315">
        <f>'Kit report'!F29</f>
        <v>263.99999999986903</v>
      </c>
      <c r="J28" s="316">
        <f>'Kit report'!X29</f>
        <v>779.99999999992724</v>
      </c>
    </row>
    <row r="29" spans="1:10" ht="15" customHeight="1" x14ac:dyDescent="0.25">
      <c r="A29" s="713">
        <f>Gen!B35</f>
        <v>44555</v>
      </c>
      <c r="B29" s="715">
        <f>Gen!C35</f>
        <v>0.57999999999999996</v>
      </c>
      <c r="C29" s="769">
        <f>Gen!AK37</f>
        <v>49.66</v>
      </c>
      <c r="D29" s="358">
        <f>Gen!T37</f>
        <v>2028.79</v>
      </c>
      <c r="E29" s="316">
        <f>Gen!D37</f>
        <v>32646.309999999998</v>
      </c>
      <c r="F29" s="317">
        <f>'Water-Meter'!E32</f>
        <v>102</v>
      </c>
      <c r="G29" s="318">
        <f>'Water-Meter'!AN32</f>
        <v>164</v>
      </c>
      <c r="H29" s="316">
        <f>'Utility report '!AC32</f>
        <v>135</v>
      </c>
      <c r="I29" s="315">
        <f>'Kit report'!F30</f>
        <v>276.00000000013097</v>
      </c>
      <c r="J29" s="316">
        <f>'Kit report'!X30</f>
        <v>959.99999999985448</v>
      </c>
    </row>
    <row r="30" spans="1:10" ht="15" customHeight="1" x14ac:dyDescent="0.25">
      <c r="A30" s="713">
        <f>Gen!B36</f>
        <v>44556</v>
      </c>
      <c r="B30" s="715">
        <f>Gen!C36</f>
        <v>0.43</v>
      </c>
      <c r="C30" s="769">
        <f>Gen!AK38</f>
        <v>186.49</v>
      </c>
      <c r="D30" s="358">
        <f>Gen!T38</f>
        <v>2053.59</v>
      </c>
      <c r="E30" s="316">
        <f>Gen!D38</f>
        <v>30567.859999999997</v>
      </c>
      <c r="F30" s="317">
        <f>'Water-Meter'!E33</f>
        <v>109</v>
      </c>
      <c r="G30" s="318">
        <f>'Water-Meter'!AN33</f>
        <v>90</v>
      </c>
      <c r="H30" s="316">
        <f>'Utility report '!AC33</f>
        <v>77</v>
      </c>
      <c r="I30" s="315">
        <f>'Kit report'!F31</f>
        <v>203.99999999986903</v>
      </c>
      <c r="J30" s="316">
        <f>'Kit report'!X31</f>
        <v>840.00000000014552</v>
      </c>
    </row>
    <row r="31" spans="1:10" ht="15" customHeight="1" x14ac:dyDescent="0.25">
      <c r="A31" s="713">
        <f>Gen!B37</f>
        <v>44557</v>
      </c>
      <c r="B31" s="715">
        <f>Gen!C37</f>
        <v>0.39</v>
      </c>
      <c r="C31" s="769">
        <f>Gen!AK39</f>
        <v>236.12</v>
      </c>
      <c r="D31" s="358">
        <f>Gen!T39</f>
        <v>2039.95</v>
      </c>
      <c r="E31" s="316">
        <f>Gen!D39</f>
        <v>46327.78</v>
      </c>
      <c r="F31" s="317">
        <f>'Water-Meter'!E34</f>
        <v>111</v>
      </c>
      <c r="G31" s="318">
        <f>'Water-Meter'!AN34</f>
        <v>144</v>
      </c>
      <c r="H31" s="316">
        <f>'Utility report '!AC34</f>
        <v>101</v>
      </c>
      <c r="I31" s="315">
        <f>'Kit report'!F32</f>
        <v>180</v>
      </c>
      <c r="J31" s="316">
        <f>'Kit report'!X32</f>
        <v>840.00000000014552</v>
      </c>
    </row>
    <row r="32" spans="1:10" ht="15" customHeight="1" x14ac:dyDescent="0.25">
      <c r="A32" s="713">
        <f>Gen!B38</f>
        <v>44558</v>
      </c>
      <c r="B32" s="715">
        <f>Gen!C38</f>
        <v>0.43</v>
      </c>
      <c r="C32" s="769">
        <f>Gen!AK40</f>
        <v>34.26</v>
      </c>
      <c r="D32" s="358">
        <f>Gen!T40</f>
        <v>2039.77</v>
      </c>
      <c r="E32" s="357">
        <f>Gen!D40</f>
        <v>44051.71</v>
      </c>
      <c r="F32" s="317">
        <f>'Water-Meter'!E35</f>
        <v>102</v>
      </c>
      <c r="G32" s="318">
        <f>'Water-Meter'!AN35</f>
        <v>118</v>
      </c>
      <c r="H32" s="316">
        <f>'Utility report '!AC35</f>
        <v>149</v>
      </c>
      <c r="I32" s="315">
        <f>'Kit report'!F33</f>
        <v>216.00000000013097</v>
      </c>
      <c r="J32" s="316">
        <f>'Kit report'!X33</f>
        <v>900</v>
      </c>
    </row>
    <row r="33" spans="1:10" ht="15" customHeight="1" x14ac:dyDescent="0.25">
      <c r="A33" s="713">
        <f>Gen!B39</f>
        <v>44559</v>
      </c>
      <c r="B33" s="715">
        <f>Gen!C39</f>
        <v>0.53</v>
      </c>
      <c r="C33" s="769">
        <f>Gen!AK41</f>
        <v>882.87</v>
      </c>
      <c r="D33" s="358">
        <f>Gen!T41</f>
        <v>1894.18</v>
      </c>
      <c r="E33" s="318">
        <f>Gen!D41</f>
        <v>41977.68</v>
      </c>
      <c r="F33" s="317">
        <f>'Water-Meter'!E36</f>
        <v>102</v>
      </c>
      <c r="G33" s="318">
        <f>'Water-Meter'!AN36</f>
        <v>83</v>
      </c>
      <c r="H33" s="316">
        <f>'Utility report '!AC36</f>
        <v>156</v>
      </c>
      <c r="I33" s="315">
        <f>'Kit report'!F34</f>
        <v>263.99999999986903</v>
      </c>
      <c r="J33" s="316">
        <f>'Kit report'!X34</f>
        <v>800</v>
      </c>
    </row>
    <row r="34" spans="1:10" ht="15" x14ac:dyDescent="0.25">
      <c r="A34" s="713">
        <f>Gen!B40</f>
        <v>44560</v>
      </c>
      <c r="B34" s="715">
        <f>Gen!C40</f>
        <v>0.61</v>
      </c>
      <c r="C34" s="769">
        <f>Gen!AL42</f>
        <v>0</v>
      </c>
      <c r="D34" s="358">
        <f>Gen!U42</f>
        <v>0</v>
      </c>
      <c r="E34" s="318">
        <f>Gen!D42</f>
        <v>39200.629999999997</v>
      </c>
      <c r="F34" s="317">
        <f>'Water-Meter'!E37</f>
        <v>120</v>
      </c>
      <c r="G34" s="318">
        <f>'Water-Meter'!AN37</f>
        <v>151</v>
      </c>
      <c r="H34" s="316">
        <f>'Utility report '!AC37</f>
        <v>-21907</v>
      </c>
      <c r="I34" s="315"/>
      <c r="J34" s="316">
        <f>'Kit report'!X35</f>
        <v>739.99999999978172</v>
      </c>
    </row>
    <row r="35" spans="1:10" ht="15" x14ac:dyDescent="0.25">
      <c r="A35" s="184">
        <f>Gen!B41</f>
        <v>44561</v>
      </c>
      <c r="B35" s="714">
        <f>Gen!C41</f>
        <v>0.61</v>
      </c>
      <c r="C35" s="770">
        <f>Gen!AL43</f>
        <v>0</v>
      </c>
      <c r="D35" s="358">
        <f>Gen!U43</f>
        <v>0</v>
      </c>
      <c r="E35" s="318">
        <f>Gen!D43</f>
        <v>39200.629999999997</v>
      </c>
      <c r="F35" s="317">
        <f>'Water-Meter'!E38</f>
        <v>2480</v>
      </c>
      <c r="G35" s="318">
        <f>'Water-Meter'!AN38</f>
        <v>3804</v>
      </c>
      <c r="H35" s="316">
        <f>'Utility report '!AC38</f>
        <v>0</v>
      </c>
      <c r="I35" s="315">
        <f>'Kit report'!F36</f>
        <v>0</v>
      </c>
      <c r="J35" s="316">
        <f>M25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>
      <selection activeCell="L31" sqref="L31"/>
    </sheetView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D4A46DCD9C5439C72AF529D93C72B" ma:contentTypeVersion="12" ma:contentTypeDescription="Create a new document." ma:contentTypeScope="" ma:versionID="95ae959561c18a7e12cc9fdbb85588e8">
  <xsd:schema xmlns:xsd="http://www.w3.org/2001/XMLSchema" xmlns:xs="http://www.w3.org/2001/XMLSchema" xmlns:p="http://schemas.microsoft.com/office/2006/metadata/properties" xmlns:ns2="ef8562c0-0682-4399-9d35-aea5069ccf39" xmlns:ns3="52c3bb96-7986-47a2-8d56-c509a96b019d" targetNamespace="http://schemas.microsoft.com/office/2006/metadata/properties" ma:root="true" ma:fieldsID="7af4334462f3e988dd7f434a84204169" ns2:_="" ns3:_="">
    <xsd:import namespace="ef8562c0-0682-4399-9d35-aea5069ccf39"/>
    <xsd:import namespace="52c3bb96-7986-47a2-8d56-c509a96b01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562c0-0682-4399-9d35-aea5069ccf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3bb96-7986-47a2-8d56-c509a96b019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FC3B6A-F63B-42FE-9A5D-398EE53DE8C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7CFE40D-3B88-4930-9CD4-D020803B2A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75D8AA-66E9-42E3-9DE5-502021F9EA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8562c0-0682-4399-9d35-aea5069ccf39"/>
    <ds:schemaRef ds:uri="52c3bb96-7986-47a2-8d56-c509a96b01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Submetering</vt:lpstr>
      <vt:lpstr>Total</vt:lpstr>
      <vt:lpstr>Energy Graph</vt:lpstr>
      <vt:lpstr>UTILITY REPORT 1</vt:lpstr>
      <vt:lpstr>Kit report</vt:lpstr>
      <vt:lpstr>Utility report </vt:lpstr>
      <vt:lpstr>Sheet3</vt:lpstr>
      <vt:lpstr>Utility summery</vt:lpstr>
      <vt:lpstr>Sheet4</vt:lpstr>
      <vt:lpstr>Gen</vt:lpstr>
      <vt:lpstr>Lpg (2)</vt:lpstr>
      <vt:lpstr>Summery Report</vt:lpstr>
      <vt:lpstr>Water-Meter</vt:lpstr>
      <vt:lpstr>LPG_Graph</vt:lpstr>
      <vt:lpstr>Daily report Gen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Manager/>
  <Company>Kilimanjaro Hotel Kempinski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Aziz Mbungiro</cp:lastModifiedBy>
  <cp:revision/>
  <dcterms:created xsi:type="dcterms:W3CDTF">2009-01-25T09:02:38Z</dcterms:created>
  <dcterms:modified xsi:type="dcterms:W3CDTF">2022-01-03T09:10:32Z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0x010100B19D4A46DCD9C5439C72AF529D93C72B</vt:lpwstr>
  </property>
</Properties>
</file>