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jo unidad\"/>
    </mc:Choice>
  </mc:AlternateContent>
  <bookViews>
    <workbookView xWindow="0" yWindow="0" windowWidth="20490" windowHeight="9045" activeTab="4"/>
  </bookViews>
  <sheets>
    <sheet name="Hoja4" sheetId="4" r:id="rId1"/>
    <sheet name="Hoja5" sheetId="5" r:id="rId2"/>
    <sheet name="Hoja6" sheetId="6" r:id="rId3"/>
    <sheet name="Hoja7" sheetId="7" r:id="rId4"/>
    <sheet name="Hoja1" sheetId="1" r:id="rId5"/>
  </sheets>
  <calcPr calcId="152511"/>
  <extLst>
    <ext uri="GoogleSheetsCustomDataVersion2">
      <go:sheetsCustomData xmlns:go="http://customooxmlschemas.google.com/" r:id="rId7" roundtripDataChecksum="u6jVIVDbNR0KlQEDdybzjAwPM8suCXeYrbND0v497NQ="/>
    </ext>
  </extLst>
</workbook>
</file>

<file path=xl/calcChain.xml><?xml version="1.0" encoding="utf-8"?>
<calcChain xmlns="http://schemas.openxmlformats.org/spreadsheetml/2006/main">
  <c r="AE62" i="1" l="1"/>
  <c r="AE61" i="1"/>
  <c r="AE60" i="1"/>
  <c r="AE59" i="1"/>
  <c r="AE58" i="1"/>
  <c r="AE57" i="1"/>
  <c r="E2" i="7"/>
  <c r="E3" i="7"/>
  <c r="E4" i="7" s="1"/>
  <c r="E5" i="7"/>
  <c r="E6" i="7" s="1"/>
  <c r="E7" i="7" s="1"/>
  <c r="E8" i="7" s="1"/>
  <c r="Y61" i="1"/>
  <c r="Y62" i="1"/>
  <c r="Y63" i="1"/>
  <c r="Y64" i="1"/>
  <c r="Y65" i="1" s="1"/>
  <c r="Y66" i="1" s="1"/>
  <c r="Y60" i="1"/>
  <c r="Y59" i="1"/>
  <c r="X67" i="1"/>
  <c r="X60" i="1"/>
  <c r="X61" i="1"/>
  <c r="X62" i="1"/>
  <c r="X63" i="1"/>
  <c r="X64" i="1"/>
  <c r="X65" i="1"/>
  <c r="X66" i="1"/>
  <c r="X59" i="1"/>
  <c r="W61" i="1"/>
  <c r="W62" i="1" s="1"/>
  <c r="W63" i="1" s="1"/>
  <c r="W64" i="1" s="1"/>
  <c r="W65" i="1" s="1"/>
  <c r="W66" i="1" s="1"/>
  <c r="W60" i="1"/>
  <c r="W59" i="1"/>
  <c r="V67" i="1"/>
  <c r="V59" i="1" a="1"/>
  <c r="V59" i="1" s="1"/>
  <c r="P197" i="1"/>
  <c r="Q81" i="1"/>
  <c r="U60" i="1"/>
  <c r="U61" i="1"/>
  <c r="U62" i="1"/>
  <c r="U63" i="1"/>
  <c r="U64" i="1"/>
  <c r="U65" i="1"/>
  <c r="U66" i="1"/>
  <c r="U59" i="1"/>
  <c r="S61" i="1"/>
  <c r="T60" i="1"/>
  <c r="T61" i="1"/>
  <c r="S62" i="1" s="1"/>
  <c r="T62" i="1" s="1"/>
  <c r="S63" i="1" s="1"/>
  <c r="T63" i="1" s="1"/>
  <c r="S64" i="1" s="1"/>
  <c r="T64" i="1" s="1"/>
  <c r="S65" i="1" s="1"/>
  <c r="T65" i="1" s="1"/>
  <c r="S66" i="1" s="1"/>
  <c r="T66" i="1" s="1"/>
  <c r="T59" i="1"/>
  <c r="S60" i="1"/>
  <c r="M60" i="1"/>
  <c r="M59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7" i="1"/>
  <c r="E2" i="6"/>
  <c r="E3" i="6" s="1"/>
  <c r="E4" i="6" s="1"/>
  <c r="E5" i="6" s="1"/>
  <c r="E6" i="6" s="1"/>
  <c r="E7" i="6" s="1"/>
  <c r="E8" i="6" s="1"/>
  <c r="E9" i="6" s="1"/>
  <c r="AE38" i="1"/>
  <c r="AE37" i="1"/>
  <c r="AE41" i="1"/>
  <c r="AE40" i="1"/>
  <c r="AE39" i="1"/>
  <c r="AE36" i="1"/>
  <c r="N209" i="1"/>
  <c r="AC20" i="1"/>
  <c r="AC21" i="1"/>
  <c r="AC23" i="1"/>
  <c r="AC24" i="1"/>
  <c r="AC22" i="1"/>
  <c r="AC19" i="1"/>
  <c r="C2" i="4"/>
  <c r="C3" i="4"/>
  <c r="C4" i="4"/>
  <c r="C5" i="4"/>
  <c r="C6" i="4"/>
  <c r="C7" i="4"/>
  <c r="C8" i="4"/>
  <c r="C9" i="4"/>
  <c r="E2" i="5"/>
  <c r="E3" i="5" s="1"/>
  <c r="E4" i="5" s="1"/>
  <c r="E5" i="5" s="1"/>
  <c r="E6" i="5" s="1"/>
  <c r="E7" i="5" s="1"/>
  <c r="E8" i="5" s="1"/>
  <c r="E9" i="5" s="1"/>
  <c r="AC8" i="1"/>
  <c r="AC7" i="1"/>
  <c r="AC6" i="1"/>
  <c r="AC5" i="1"/>
  <c r="AC4" i="1"/>
  <c r="AC3" i="1"/>
  <c r="E2" i="4"/>
  <c r="E3" i="4" s="1"/>
  <c r="F2" i="4"/>
  <c r="F3" i="4"/>
  <c r="F4" i="4"/>
  <c r="F5" i="4"/>
  <c r="F6" i="4"/>
  <c r="F7" i="4"/>
  <c r="F8" i="4"/>
  <c r="F9" i="4"/>
  <c r="E4" i="4"/>
  <c r="E5" i="4" s="1"/>
  <c r="E6" i="4" s="1"/>
  <c r="E7" i="4" s="1"/>
  <c r="E8" i="4" s="1"/>
  <c r="E9" i="4" s="1"/>
  <c r="V62" i="1" l="1"/>
  <c r="V61" i="1"/>
  <c r="V64" i="1"/>
  <c r="V60" i="1"/>
  <c r="V66" i="1"/>
  <c r="V65" i="1"/>
  <c r="V63" i="1"/>
  <c r="R5" i="1" l="1"/>
  <c r="Q6" i="1" s="1"/>
  <c r="R6" i="1" s="1"/>
  <c r="P58" i="1"/>
  <c r="N62" i="1"/>
  <c r="N41" i="1"/>
  <c r="T38" i="1"/>
  <c r="P45" i="1"/>
  <c r="P44" i="1"/>
  <c r="P43" i="1"/>
  <c r="P42" i="1"/>
  <c r="P41" i="1"/>
  <c r="P40" i="1"/>
  <c r="P39" i="1"/>
  <c r="P38" i="1"/>
  <c r="P37" i="1"/>
  <c r="P36" i="1"/>
  <c r="R21" i="1"/>
  <c r="M21" i="1"/>
  <c r="M20" i="1"/>
  <c r="M19" i="1"/>
  <c r="N23" i="1" s="1"/>
  <c r="M5" i="1"/>
  <c r="M4" i="1"/>
  <c r="M3" i="1"/>
  <c r="N7" i="1" s="1"/>
  <c r="U38" i="1" l="1"/>
  <c r="S21" i="1"/>
  <c r="S5" i="1"/>
  <c r="M6" i="1"/>
  <c r="N8" i="1" s="1"/>
  <c r="S39" i="1"/>
  <c r="T39" i="1" s="1"/>
  <c r="S40" i="1" s="1"/>
  <c r="Q22" i="1"/>
  <c r="R22" i="1" s="1"/>
  <c r="M22" i="1"/>
  <c r="N24" i="1" s="1"/>
  <c r="M39" i="1"/>
  <c r="M38" i="1"/>
  <c r="P46" i="1"/>
  <c r="Q7" i="1"/>
  <c r="S6" i="1"/>
  <c r="M40" i="1" l="1"/>
  <c r="N42" i="1" s="1"/>
  <c r="U39" i="1"/>
  <c r="S22" i="1"/>
  <c r="M61" i="1"/>
  <c r="N63" i="1" s="1"/>
  <c r="T40" i="1"/>
  <c r="R7" i="1"/>
  <c r="Q23" i="1"/>
  <c r="U40" i="1" l="1"/>
  <c r="S41" i="1"/>
  <c r="R23" i="1"/>
  <c r="Q8" i="1"/>
  <c r="S7" i="1"/>
  <c r="S23" i="1" l="1"/>
  <c r="T41" i="1"/>
  <c r="R8" i="1"/>
  <c r="Q24" i="1"/>
  <c r="S42" i="1" l="1"/>
  <c r="S8" i="1"/>
  <c r="U41" i="1"/>
  <c r="R24" i="1"/>
  <c r="Q9" i="1"/>
  <c r="T42" i="1" l="1"/>
  <c r="S43" i="1" s="1"/>
  <c r="R9" i="1"/>
  <c r="Q25" i="1"/>
  <c r="S24" i="1"/>
  <c r="U42" i="1" l="1"/>
  <c r="T43" i="1"/>
  <c r="S44" i="1" s="1"/>
  <c r="R25" i="1"/>
  <c r="Q10" i="1"/>
  <c r="S9" i="1"/>
  <c r="U43" i="1" l="1"/>
  <c r="T44" i="1"/>
  <c r="S45" i="1" s="1"/>
  <c r="S25" i="1"/>
  <c r="R10" i="1"/>
  <c r="S10" i="1" s="1"/>
  <c r="Q26" i="1"/>
  <c r="U44" i="1" l="1"/>
  <c r="T45" i="1"/>
  <c r="V38" i="1" s="1" a="1"/>
  <c r="R26" i="1"/>
  <c r="Q11" i="1"/>
  <c r="U45" i="1" l="1"/>
  <c r="V38" i="1"/>
  <c r="V40" i="1"/>
  <c r="V45" i="1"/>
  <c r="V41" i="1"/>
  <c r="V39" i="1"/>
  <c r="V44" i="1"/>
  <c r="V43" i="1"/>
  <c r="V42" i="1"/>
  <c r="R11" i="1"/>
  <c r="Q12" i="1" s="1"/>
  <c r="Q27" i="1"/>
  <c r="S26" i="1"/>
  <c r="W38" i="1" l="1"/>
  <c r="W39" i="1" s="1"/>
  <c r="W40" i="1" s="1"/>
  <c r="W41" i="1" s="1"/>
  <c r="W42" i="1" s="1"/>
  <c r="W43" i="1" s="1"/>
  <c r="W44" i="1" s="1"/>
  <c r="W45" i="1" s="1"/>
  <c r="V46" i="1"/>
  <c r="X44" i="1" s="1"/>
  <c r="R27" i="1"/>
  <c r="Q28" i="1" s="1"/>
  <c r="R12" i="1"/>
  <c r="T5" i="1" s="1" a="1"/>
  <c r="S11" i="1"/>
  <c r="X42" i="1" l="1"/>
  <c r="X41" i="1"/>
  <c r="X39" i="1"/>
  <c r="X38" i="1"/>
  <c r="X40" i="1"/>
  <c r="X43" i="1"/>
  <c r="X45" i="1"/>
  <c r="T5" i="1"/>
  <c r="T10" i="1"/>
  <c r="T9" i="1"/>
  <c r="T6" i="1"/>
  <c r="T7" i="1"/>
  <c r="T11" i="1"/>
  <c r="T12" i="1"/>
  <c r="T8" i="1"/>
  <c r="S27" i="1"/>
  <c r="R28" i="1"/>
  <c r="T21" i="1" s="1" a="1"/>
  <c r="S12" i="1"/>
  <c r="T21" i="1" l="1"/>
  <c r="T24" i="1"/>
  <c r="T27" i="1"/>
  <c r="T23" i="1"/>
  <c r="T25" i="1"/>
  <c r="T22" i="1"/>
  <c r="T26" i="1"/>
  <c r="T28" i="1"/>
  <c r="X46" i="1"/>
  <c r="Y38" i="1"/>
  <c r="Y39" i="1" s="1"/>
  <c r="Y40" i="1" s="1"/>
  <c r="Y41" i="1" s="1"/>
  <c r="Y42" i="1" s="1"/>
  <c r="Y43" i="1" s="1"/>
  <c r="Y44" i="1" s="1"/>
  <c r="Y45" i="1" s="1"/>
  <c r="T13" i="1"/>
  <c r="V12" i="1" s="1"/>
  <c r="S28" i="1"/>
  <c r="U5" i="1"/>
  <c r="V5" i="1" l="1"/>
  <c r="V9" i="1"/>
  <c r="V7" i="1"/>
  <c r="U21" i="1"/>
  <c r="U22" i="1" s="1"/>
  <c r="U23" i="1" s="1"/>
  <c r="U24" i="1" s="1"/>
  <c r="U25" i="1" s="1"/>
  <c r="U26" i="1" s="1"/>
  <c r="U27" i="1" s="1"/>
  <c r="U28" i="1" s="1"/>
  <c r="V11" i="1"/>
  <c r="V6" i="1"/>
  <c r="U6" i="1"/>
  <c r="U7" i="1" s="1"/>
  <c r="U8" i="1" s="1"/>
  <c r="U9" i="1" s="1"/>
  <c r="U10" i="1" s="1"/>
  <c r="U11" i="1" s="1"/>
  <c r="U12" i="1" s="1"/>
  <c r="W5" i="1"/>
  <c r="V10" i="1"/>
  <c r="V8" i="1"/>
  <c r="V13" i="1" l="1"/>
  <c r="W6" i="1"/>
  <c r="W7" i="1" s="1"/>
  <c r="W8" i="1" s="1"/>
  <c r="W9" i="1" s="1"/>
  <c r="W10" i="1" s="1"/>
  <c r="W11" i="1" s="1"/>
  <c r="W12" i="1" s="1"/>
  <c r="V23" i="1"/>
  <c r="V26" i="1"/>
  <c r="V22" i="1"/>
  <c r="V24" i="1"/>
  <c r="V28" i="1"/>
  <c r="V27" i="1"/>
  <c r="V25" i="1"/>
  <c r="W28" i="1"/>
  <c r="W26" i="1"/>
  <c r="W27" i="1"/>
  <c r="V29" i="1"/>
  <c r="W24" i="1"/>
  <c r="W25" i="1"/>
  <c r="T29" i="1"/>
  <c r="V21" i="1"/>
  <c r="W21" i="1"/>
  <c r="W22" i="1"/>
  <c r="W23" i="1"/>
</calcChain>
</file>

<file path=xl/sharedStrings.xml><?xml version="1.0" encoding="utf-8"?>
<sst xmlns="http://schemas.openxmlformats.org/spreadsheetml/2006/main" count="745" uniqueCount="121">
  <si>
    <t>TABLA GENERAL</t>
  </si>
  <si>
    <t>CO_HOGAR</t>
  </si>
  <si>
    <t>UBIGEO</t>
  </si>
  <si>
    <t>DE_DEPARTAMENTO</t>
  </si>
  <si>
    <t>DE_PROVINCIA</t>
  </si>
  <si>
    <t>DE_DISTRITO</t>
  </si>
  <si>
    <t>DE_GENERO</t>
  </si>
  <si>
    <t>FLAG_PADRON_OLD</t>
  </si>
  <si>
    <t>FLAG_DISCAP_SEVERA</t>
  </si>
  <si>
    <t>FLAG_MAYEDAD</t>
  </si>
  <si>
    <t>Rango</t>
  </si>
  <si>
    <t>Càlculo de Intervalos</t>
  </si>
  <si>
    <t>AMAZONAS</t>
  </si>
  <si>
    <t>CHACHAPOYAS</t>
  </si>
  <si>
    <t>LA JALCA</t>
  </si>
  <si>
    <t>Nùmero de datos</t>
  </si>
  <si>
    <t>Valor màximo(xmax)</t>
  </si>
  <si>
    <t>valor minimo(xmin)</t>
  </si>
  <si>
    <t>Rango(R)</t>
  </si>
  <si>
    <t>BAGUA</t>
  </si>
  <si>
    <t>ARAMANGO</t>
  </si>
  <si>
    <t>Numero de Intervalos(K)</t>
  </si>
  <si>
    <t>Amplitud(A)</t>
  </si>
  <si>
    <t>LAMBAYEQUE</t>
  </si>
  <si>
    <t>CHICLAYO</t>
  </si>
  <si>
    <t>TUMAN</t>
  </si>
  <si>
    <t>Limite Inferior</t>
  </si>
  <si>
    <t>Lìmite Superior</t>
  </si>
  <si>
    <t>Marca de clase</t>
  </si>
  <si>
    <t>Frecuencia Absoluta</t>
  </si>
  <si>
    <t>Frecuencia Acumulada</t>
  </si>
  <si>
    <t>Frecuencia Relativa</t>
  </si>
  <si>
    <t xml:space="preserve">Frec. relativa acumulada </t>
  </si>
  <si>
    <t>SAN MARTIN</t>
  </si>
  <si>
    <t>SAUCE</t>
  </si>
  <si>
    <t>Total</t>
  </si>
  <si>
    <t>IMAZA</t>
  </si>
  <si>
    <t>Tabla de Frecuencia UBIGEO</t>
  </si>
  <si>
    <t>UTCUBAMBA</t>
  </si>
  <si>
    <t>YAMON</t>
  </si>
  <si>
    <t>Tabla de frecuencia DE_DEPARTAMENTO</t>
  </si>
  <si>
    <t>APURIMAC</t>
  </si>
  <si>
    <t>CUSCO</t>
  </si>
  <si>
    <t>ICA</t>
  </si>
  <si>
    <t>ANCASH</t>
  </si>
  <si>
    <t>LIMA</t>
  </si>
  <si>
    <t xml:space="preserve">LORETO </t>
  </si>
  <si>
    <t xml:space="preserve">SAN MARTIN </t>
  </si>
  <si>
    <t>CAJAMARCA</t>
  </si>
  <si>
    <t>BONGARA</t>
  </si>
  <si>
    <t>CHURUJA</t>
  </si>
  <si>
    <t>JAZAN</t>
  </si>
  <si>
    <t>FLORIDA</t>
  </si>
  <si>
    <t>COMAS</t>
  </si>
  <si>
    <t>SHIPASBAMBA</t>
  </si>
  <si>
    <t>VALERA</t>
  </si>
  <si>
    <t>YAMBRASBAMBA</t>
  </si>
  <si>
    <t>LORETO</t>
  </si>
  <si>
    <t>DATEM DEL MARAÑON</t>
  </si>
  <si>
    <t>MANSERICHE</t>
  </si>
  <si>
    <t>CONDORCANQUI</t>
  </si>
  <si>
    <t>NIEVA</t>
  </si>
  <si>
    <t>JAEN</t>
  </si>
  <si>
    <t>RIOJA</t>
  </si>
  <si>
    <t>ELIAS SOPLIN VARGAS</t>
  </si>
  <si>
    <t>UCAYALI</t>
  </si>
  <si>
    <t>SARAYACU</t>
  </si>
  <si>
    <t>SAN JUAN DE LURIGANCHO</t>
  </si>
  <si>
    <t>HUARAZ</t>
  </si>
  <si>
    <t>PARIACOTO</t>
  </si>
  <si>
    <t>ANTONIO RAYMONDI</t>
  </si>
  <si>
    <t>ACZO</t>
  </si>
  <si>
    <t>SAN SEBASTIAN</t>
  </si>
  <si>
    <t>SALAS</t>
  </si>
  <si>
    <t>CANCHIS</t>
  </si>
  <si>
    <t>PITUMARCA</t>
  </si>
  <si>
    <t>ANDAHUAYLAS</t>
  </si>
  <si>
    <t>ANDARAPA</t>
  </si>
  <si>
    <t>CHINCHEROS</t>
  </si>
  <si>
    <t>ANCO_HUALLO</t>
  </si>
  <si>
    <t>Tabla de frecuencia DE_PROVINCIA</t>
  </si>
  <si>
    <t>Tabla de frecuencia CO Hogar D.A.</t>
  </si>
  <si>
    <t xml:space="preserve">N° </t>
  </si>
  <si>
    <t>y mayor...</t>
  </si>
  <si>
    <t>Frecuencia</t>
  </si>
  <si>
    <t>% acumulado</t>
  </si>
  <si>
    <t>F Acumulada</t>
  </si>
  <si>
    <t>% de F</t>
  </si>
  <si>
    <t>Clases</t>
  </si>
  <si>
    <t>Marca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</si>
  <si>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</si>
  <si>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</si>
  <si>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</si>
  <si>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</si>
  <si>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</si>
  <si>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</si>
  <si>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</si>
  <si>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</si>
  <si>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Mínimo</t>
  </si>
  <si>
    <t>Máximo</t>
  </si>
  <si>
    <t>Suma</t>
  </si>
  <si>
    <t>Cuenta</t>
  </si>
  <si>
    <t>Tendencia Posicion</t>
  </si>
  <si>
    <t>Cuartil 1</t>
  </si>
  <si>
    <t>Cuartil 2</t>
  </si>
  <si>
    <t>Cuartil 3</t>
  </si>
  <si>
    <t>Tendencia Central y Dispersion</t>
  </si>
  <si>
    <t>Deciles3</t>
  </si>
  <si>
    <t>Deciles5</t>
  </si>
  <si>
    <t>Deciles8</t>
  </si>
  <si>
    <t>Tabla de Frecuencia CO Hogar D.A.</t>
  </si>
  <si>
    <t>Valor máximo(xmax)</t>
  </si>
  <si>
    <t>Frecuencia Ac</t>
  </si>
  <si>
    <t>Clase</t>
  </si>
  <si>
    <t>DEPARTAMENTO</t>
  </si>
  <si>
    <t>Contar</t>
  </si>
  <si>
    <t>Fre. Acumulada</t>
  </si>
  <si>
    <t>Fre Acumulda</t>
  </si>
  <si>
    <t>clase</t>
  </si>
  <si>
    <t>marca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</si>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</sst>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9"/>
      <color rgb="FF000000"/>
      <name val="&quot;Google Sans Mono&quot;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002060"/>
      <name val="Calibri"/>
      <family val="2"/>
    </font>
    <font>
      <sz val="11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0" fillId="0" borderId="1" xfId="0" applyFont="1" applyBorder="1" applyAlignment="1"/>
    <xf numFmtId="0" fontId="4" fillId="2" borderId="1" xfId="0" applyFont="1" applyFill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0" xfId="0" applyFont="1" applyBorder="1" applyAlignment="1"/>
    <xf numFmtId="0" fontId="1" fillId="0" borderId="2" xfId="0" applyFont="1" applyBorder="1" applyAlignment="1"/>
    <xf numFmtId="0" fontId="8" fillId="0" borderId="1" xfId="0" applyFont="1" applyBorder="1" applyAlignment="1">
      <alignment horizontal="center"/>
    </xf>
    <xf numFmtId="0" fontId="1" fillId="0" borderId="1" xfId="0" applyFont="1" applyBorder="1" applyAlignment="1"/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0" xfId="0" applyFont="1" applyBorder="1" applyAlignment="1"/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/>
    <xf numFmtId="0" fontId="8" fillId="0" borderId="1" xfId="0" applyFont="1" applyBorder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6" xfId="0" applyFill="1" applyBorder="1" applyAlignment="1"/>
    <xf numFmtId="10" fontId="0" fillId="0" borderId="6" xfId="0" applyNumberFormat="1" applyFill="1" applyBorder="1" applyAlignment="1"/>
    <xf numFmtId="0" fontId="13" fillId="0" borderId="8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7" xfId="0" applyFont="1" applyBorder="1" applyAlignment="1"/>
    <xf numFmtId="0" fontId="13" fillId="0" borderId="7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" fillId="0" borderId="1" xfId="0" quotePrefix="1" applyFont="1" applyBorder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9" fillId="0" borderId="0" xfId="0" applyFont="1" applyAlignment="1">
      <alignment horizontal="center"/>
    </xf>
    <xf numFmtId="0" fontId="5" fillId="0" borderId="1" xfId="0" applyFont="1" applyBorder="1" applyAlignment="1"/>
    <xf numFmtId="0" fontId="8" fillId="0" borderId="1" xfId="0" applyFont="1" applyBorder="1"/>
    <xf numFmtId="0" fontId="13" fillId="0" borderId="5" xfId="0" applyFont="1" applyFill="1" applyBorder="1" applyAlignment="1">
      <alignment horizontal="center"/>
    </xf>
    <xf numFmtId="0" fontId="1" fillId="0" borderId="1" xfId="0" applyFont="1" applyBorder="1"/>
    <xf numFmtId="0" fontId="9" fillId="0" borderId="1" xfId="0" applyFont="1" applyBorder="1"/>
    <xf numFmtId="0" fontId="1" fillId="0" borderId="9" xfId="0" applyFont="1" applyFill="1" applyBorder="1"/>
    <xf numFmtId="0" fontId="1" fillId="0" borderId="9" xfId="0" applyFont="1" applyFill="1" applyBorder="1" applyAlignment="1"/>
    <xf numFmtId="0" fontId="9" fillId="0" borderId="1" xfId="0" applyFont="1" applyFill="1" applyBorder="1" applyAlignment="1"/>
    <xf numFmtId="0" fontId="13" fillId="0" borderId="0" xfId="0" applyFont="1" applyFill="1" applyBorder="1" applyAlignment="1"/>
    <xf numFmtId="0" fontId="7" fillId="0" borderId="1" xfId="0" applyFont="1" applyBorder="1" applyAlignment="1">
      <alignment horizontal="left"/>
    </xf>
    <xf numFmtId="0" fontId="1" fillId="0" borderId="0" xfId="0" applyFont="1" applyBorder="1" applyAlignment="1"/>
    <xf numFmtId="0" fontId="9" fillId="0" borderId="8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Hoja4!$C$2:$C$10</c:f>
              <c:strCache>
                <c:ptCount val="9"/>
                <c:pt idx="0">
                  <c:v>71</c:v>
                </c:pt>
                <c:pt idx="1">
                  <c:v>214</c:v>
                </c:pt>
                <c:pt idx="2">
                  <c:v>357</c:v>
                </c:pt>
                <c:pt idx="3">
                  <c:v>500</c:v>
                </c:pt>
                <c:pt idx="4">
                  <c:v>643</c:v>
                </c:pt>
                <c:pt idx="5">
                  <c:v>786</c:v>
                </c:pt>
                <c:pt idx="6">
                  <c:v>929</c:v>
                </c:pt>
                <c:pt idx="7">
                  <c:v>1072</c:v>
                </c:pt>
                <c:pt idx="8">
                  <c:v>y mayor...</c:v>
                </c:pt>
              </c:strCache>
            </c:strRef>
          </c:cat>
          <c:val>
            <c:numRef>
              <c:f>Hoja4!$D$2:$D$10</c:f>
              <c:numCache>
                <c:formatCode>General</c:formatCode>
                <c:ptCount val="9"/>
                <c:pt idx="0">
                  <c:v>115</c:v>
                </c:pt>
                <c:pt idx="1">
                  <c:v>18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24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122752"/>
        <c:axId val="386123144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Hoja4!$C$2:$C$10</c:f>
              <c:strCache>
                <c:ptCount val="9"/>
                <c:pt idx="0">
                  <c:v>71</c:v>
                </c:pt>
                <c:pt idx="1">
                  <c:v>214</c:v>
                </c:pt>
                <c:pt idx="2">
                  <c:v>357</c:v>
                </c:pt>
                <c:pt idx="3">
                  <c:v>500</c:v>
                </c:pt>
                <c:pt idx="4">
                  <c:v>643</c:v>
                </c:pt>
                <c:pt idx="5">
                  <c:v>786</c:v>
                </c:pt>
                <c:pt idx="6">
                  <c:v>929</c:v>
                </c:pt>
                <c:pt idx="7">
                  <c:v>1072</c:v>
                </c:pt>
                <c:pt idx="8">
                  <c:v>y mayor...</c:v>
                </c:pt>
              </c:strCache>
            </c:strRef>
          </c:cat>
          <c:val>
            <c:numRef>
              <c:f>Hoja4!$G$2:$G$10</c:f>
              <c:numCache>
                <c:formatCode>0.00%</c:formatCode>
                <c:ptCount val="9"/>
                <c:pt idx="0">
                  <c:v>0.65517241379310343</c:v>
                </c:pt>
                <c:pt idx="1">
                  <c:v>0.75862068965517238</c:v>
                </c:pt>
                <c:pt idx="2">
                  <c:v>0.86206896551724133</c:v>
                </c:pt>
                <c:pt idx="3">
                  <c:v>0.86206896551724133</c:v>
                </c:pt>
                <c:pt idx="4">
                  <c:v>0.86206896551724133</c:v>
                </c:pt>
                <c:pt idx="5">
                  <c:v>0.86206896551724133</c:v>
                </c:pt>
                <c:pt idx="6">
                  <c:v>0.86206896551724133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957056"/>
        <c:axId val="447964504"/>
      </c:lineChart>
      <c:catAx>
        <c:axId val="38612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s-PE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6123144"/>
        <c:crosses val="autoZero"/>
        <c:auto val="1"/>
        <c:lblAlgn val="ctr"/>
        <c:lblOffset val="100"/>
        <c:noMultiLvlLbl val="0"/>
      </c:catAx>
      <c:valAx>
        <c:axId val="386123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6122752"/>
        <c:crosses val="autoZero"/>
        <c:crossBetween val="between"/>
      </c:valAx>
      <c:valAx>
        <c:axId val="44796450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47957056"/>
        <c:crosses val="max"/>
        <c:crossBetween val="between"/>
      </c:valAx>
      <c:catAx>
        <c:axId val="44795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7964504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Grafico</a:t>
            </a:r>
            <a:r>
              <a:rPr lang="es-PE" baseline="0"/>
              <a:t> de frecuencia</a:t>
            </a:r>
            <a:endParaRPr lang="es-P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Hoja4!$D$2:$D$9</c:f>
              <c:numCache>
                <c:formatCode>General</c:formatCode>
                <c:ptCount val="8"/>
                <c:pt idx="0">
                  <c:v>115</c:v>
                </c:pt>
                <c:pt idx="1">
                  <c:v>18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8635648"/>
        <c:axId val="378634864"/>
      </c:barChart>
      <c:catAx>
        <c:axId val="37863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Clases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78634864"/>
        <c:crosses val="autoZero"/>
        <c:auto val="1"/>
        <c:lblAlgn val="ctr"/>
        <c:lblOffset val="100"/>
        <c:noMultiLvlLbl val="0"/>
      </c:catAx>
      <c:valAx>
        <c:axId val="3786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Frecuencias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7863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Hoja5!$C$2:$C$10</c:f>
              <c:strCache>
                <c:ptCount val="9"/>
                <c:pt idx="0">
                  <c:v>23284</c:v>
                </c:pt>
                <c:pt idx="1">
                  <c:v>49635</c:v>
                </c:pt>
                <c:pt idx="2">
                  <c:v>75986</c:v>
                </c:pt>
                <c:pt idx="3">
                  <c:v>102337</c:v>
                </c:pt>
                <c:pt idx="4">
                  <c:v>128688</c:v>
                </c:pt>
                <c:pt idx="5">
                  <c:v>155039</c:v>
                </c:pt>
                <c:pt idx="6">
                  <c:v>181390</c:v>
                </c:pt>
                <c:pt idx="7">
                  <c:v>207741</c:v>
                </c:pt>
                <c:pt idx="8">
                  <c:v>y mayor...</c:v>
                </c:pt>
              </c:strCache>
            </c:strRef>
          </c:cat>
          <c:val>
            <c:numRef>
              <c:f>Hoja5!$D$2:$D$10</c:f>
              <c:numCache>
                <c:formatCode>General</c:formatCode>
                <c:ptCount val="9"/>
                <c:pt idx="0">
                  <c:v>125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15</c:v>
                </c:pt>
                <c:pt idx="6">
                  <c:v>0</c:v>
                </c:pt>
                <c:pt idx="7">
                  <c:v>13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3559248"/>
        <c:axId val="493554152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Hoja5!$C$2:$C$10</c:f>
              <c:strCache>
                <c:ptCount val="9"/>
                <c:pt idx="0">
                  <c:v>23284</c:v>
                </c:pt>
                <c:pt idx="1">
                  <c:v>49635</c:v>
                </c:pt>
                <c:pt idx="2">
                  <c:v>75986</c:v>
                </c:pt>
                <c:pt idx="3">
                  <c:v>102337</c:v>
                </c:pt>
                <c:pt idx="4">
                  <c:v>128688</c:v>
                </c:pt>
                <c:pt idx="5">
                  <c:v>155039</c:v>
                </c:pt>
                <c:pt idx="6">
                  <c:v>181390</c:v>
                </c:pt>
                <c:pt idx="7">
                  <c:v>207741</c:v>
                </c:pt>
                <c:pt idx="8">
                  <c:v>y mayor...</c:v>
                </c:pt>
              </c:strCache>
            </c:strRef>
          </c:cat>
          <c:val>
            <c:numRef>
              <c:f>Hoja5!$F$2:$F$10</c:f>
              <c:numCache>
                <c:formatCode>0.00%</c:formatCode>
                <c:ptCount val="9"/>
                <c:pt idx="0">
                  <c:v>0.71264367816091956</c:v>
                </c:pt>
                <c:pt idx="1">
                  <c:v>0.74137931034482762</c:v>
                </c:pt>
                <c:pt idx="2">
                  <c:v>0.77586206896551724</c:v>
                </c:pt>
                <c:pt idx="3">
                  <c:v>0.81034482758620685</c:v>
                </c:pt>
                <c:pt idx="4">
                  <c:v>0.83908045977011492</c:v>
                </c:pt>
                <c:pt idx="5">
                  <c:v>0.92528735632183912</c:v>
                </c:pt>
                <c:pt idx="6">
                  <c:v>0.92528735632183912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144312"/>
        <c:axId val="493554544"/>
      </c:lineChart>
      <c:catAx>
        <c:axId val="49355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s-PE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3554152"/>
        <c:crosses val="autoZero"/>
        <c:auto val="1"/>
        <c:lblAlgn val="ctr"/>
        <c:lblOffset val="100"/>
        <c:noMultiLvlLbl val="0"/>
      </c:catAx>
      <c:valAx>
        <c:axId val="493554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3559248"/>
        <c:crosses val="autoZero"/>
        <c:crossBetween val="between"/>
      </c:valAx>
      <c:valAx>
        <c:axId val="4935545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49144312"/>
        <c:crosses val="max"/>
        <c:crossBetween val="between"/>
      </c:valAx>
      <c:catAx>
        <c:axId val="449144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3554544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UBIGEO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Hoja5!$D$2:$D$9</c:f>
              <c:numCache>
                <c:formatCode>General</c:formatCode>
                <c:ptCount val="8"/>
                <c:pt idx="0">
                  <c:v>125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15</c:v>
                </c:pt>
                <c:pt idx="6">
                  <c:v>0</c:v>
                </c:pt>
                <c:pt idx="7">
                  <c:v>13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3560424"/>
        <c:axId val="493560816"/>
      </c:barChart>
      <c:catAx>
        <c:axId val="493560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Clases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93560816"/>
        <c:crosses val="autoZero"/>
        <c:auto val="1"/>
        <c:lblAlgn val="ctr"/>
        <c:lblOffset val="100"/>
        <c:noMultiLvlLbl val="0"/>
      </c:catAx>
      <c:valAx>
        <c:axId val="4935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Frecuencia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9356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Hoja6!$C$2:$C$10</c:f>
              <c:strCache>
                <c:ptCount val="9"/>
                <c:pt idx="0">
                  <c:v>10.5</c:v>
                </c:pt>
                <c:pt idx="1">
                  <c:v>22.5</c:v>
                </c:pt>
                <c:pt idx="2">
                  <c:v>34.5</c:v>
                </c:pt>
                <c:pt idx="3">
                  <c:v>46.5</c:v>
                </c:pt>
                <c:pt idx="4">
                  <c:v>58.5</c:v>
                </c:pt>
                <c:pt idx="5">
                  <c:v>70.5</c:v>
                </c:pt>
                <c:pt idx="6">
                  <c:v>82.5</c:v>
                </c:pt>
                <c:pt idx="7">
                  <c:v>94.5</c:v>
                </c:pt>
                <c:pt idx="8">
                  <c:v>y mayor...</c:v>
                </c:pt>
              </c:strCache>
            </c:strRef>
          </c:cat>
          <c:val>
            <c:numRef>
              <c:f>Hoja6!$D$2:$D$10</c:f>
              <c:numCache>
                <c:formatCode>General</c:formatCode>
                <c:ptCount val="9"/>
                <c:pt idx="0">
                  <c:v>63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94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0777616"/>
        <c:axId val="460778400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Hoja6!$C$2:$C$10</c:f>
              <c:strCache>
                <c:ptCount val="9"/>
                <c:pt idx="0">
                  <c:v>10.5</c:v>
                </c:pt>
                <c:pt idx="1">
                  <c:v>22.5</c:v>
                </c:pt>
                <c:pt idx="2">
                  <c:v>34.5</c:v>
                </c:pt>
                <c:pt idx="3">
                  <c:v>46.5</c:v>
                </c:pt>
                <c:pt idx="4">
                  <c:v>58.5</c:v>
                </c:pt>
                <c:pt idx="5">
                  <c:v>70.5</c:v>
                </c:pt>
                <c:pt idx="6">
                  <c:v>82.5</c:v>
                </c:pt>
                <c:pt idx="7">
                  <c:v>94.5</c:v>
                </c:pt>
                <c:pt idx="8">
                  <c:v>y mayor...</c:v>
                </c:pt>
              </c:strCache>
            </c:strRef>
          </c:cat>
          <c:val>
            <c:numRef>
              <c:f>Hoja6!$F$2:$F$10</c:f>
              <c:numCache>
                <c:formatCode>0.00%</c:formatCode>
                <c:ptCount val="9"/>
                <c:pt idx="0">
                  <c:v>0.35632183908045978</c:v>
                </c:pt>
                <c:pt idx="1">
                  <c:v>0.45977011494252873</c:v>
                </c:pt>
                <c:pt idx="2">
                  <c:v>0.45977011494252873</c:v>
                </c:pt>
                <c:pt idx="3">
                  <c:v>0.45977011494252873</c:v>
                </c:pt>
                <c:pt idx="4">
                  <c:v>0.45977011494252873</c:v>
                </c:pt>
                <c:pt idx="5">
                  <c:v>0.45977011494252873</c:v>
                </c:pt>
                <c:pt idx="6">
                  <c:v>0.45977011494252873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426504"/>
        <c:axId val="447430032"/>
      </c:lineChart>
      <c:catAx>
        <c:axId val="46077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s-PE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0778400"/>
        <c:crosses val="autoZero"/>
        <c:auto val="1"/>
        <c:lblAlgn val="ctr"/>
        <c:lblOffset val="100"/>
        <c:noMultiLvlLbl val="0"/>
      </c:catAx>
      <c:valAx>
        <c:axId val="460778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0777616"/>
        <c:crosses val="autoZero"/>
        <c:crossBetween val="between"/>
      </c:valAx>
      <c:valAx>
        <c:axId val="4474300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47426504"/>
        <c:crosses val="max"/>
        <c:crossBetween val="between"/>
      </c:valAx>
      <c:catAx>
        <c:axId val="447426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743003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Departamento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Hoja6!$D$2:$D$9</c:f>
              <c:numCache>
                <c:formatCode>General</c:formatCode>
                <c:ptCount val="8"/>
                <c:pt idx="0">
                  <c:v>63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6158168"/>
        <c:axId val="456151112"/>
      </c:barChart>
      <c:catAx>
        <c:axId val="456158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Clas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56151112"/>
        <c:crosses val="autoZero"/>
        <c:auto val="1"/>
        <c:lblAlgn val="ctr"/>
        <c:lblOffset val="100"/>
        <c:noMultiLvlLbl val="0"/>
      </c:catAx>
      <c:valAx>
        <c:axId val="4561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Frecuencia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56158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numRef>
              <c:f>Hoja7!$C$2:$C$9</c:f>
              <c:numCache>
                <c:formatCode>General</c:formatCode>
                <c:ptCount val="8"/>
                <c:pt idx="0">
                  <c:v>5</c:v>
                </c:pt>
                <c:pt idx="1">
                  <c:v>12</c:v>
                </c:pt>
                <c:pt idx="2">
                  <c:v>19</c:v>
                </c:pt>
                <c:pt idx="3">
                  <c:v>26</c:v>
                </c:pt>
                <c:pt idx="4">
                  <c:v>33</c:v>
                </c:pt>
                <c:pt idx="5">
                  <c:v>40</c:v>
                </c:pt>
                <c:pt idx="6">
                  <c:v>47</c:v>
                </c:pt>
                <c:pt idx="7">
                  <c:v>54</c:v>
                </c:pt>
              </c:numCache>
            </c:numRef>
          </c:cat>
          <c:val>
            <c:numRef>
              <c:f>Hoja7!$D$2:$D$9</c:f>
              <c:numCache>
                <c:formatCode>General</c:formatCode>
                <c:ptCount val="8"/>
                <c:pt idx="0">
                  <c:v>92</c:v>
                </c:pt>
                <c:pt idx="1">
                  <c:v>0</c:v>
                </c:pt>
                <c:pt idx="2">
                  <c:v>0</c:v>
                </c:pt>
                <c:pt idx="3">
                  <c:v>33</c:v>
                </c:pt>
                <c:pt idx="4">
                  <c:v>0</c:v>
                </c:pt>
                <c:pt idx="5">
                  <c:v>49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3276992"/>
        <c:axId val="453278168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numRef>
              <c:f>Hoja7!$C$2:$C$9</c:f>
              <c:numCache>
                <c:formatCode>General</c:formatCode>
                <c:ptCount val="8"/>
                <c:pt idx="0">
                  <c:v>5</c:v>
                </c:pt>
                <c:pt idx="1">
                  <c:v>12</c:v>
                </c:pt>
                <c:pt idx="2">
                  <c:v>19</c:v>
                </c:pt>
                <c:pt idx="3">
                  <c:v>26</c:v>
                </c:pt>
                <c:pt idx="4">
                  <c:v>33</c:v>
                </c:pt>
                <c:pt idx="5">
                  <c:v>40</c:v>
                </c:pt>
                <c:pt idx="6">
                  <c:v>47</c:v>
                </c:pt>
                <c:pt idx="7">
                  <c:v>54</c:v>
                </c:pt>
              </c:numCache>
            </c:numRef>
          </c:cat>
          <c:val>
            <c:numRef>
              <c:f>Hoja7!$F$2:$F$9</c:f>
              <c:numCache>
                <c:formatCode>0.00%</c:formatCode>
                <c:ptCount val="8"/>
                <c:pt idx="0">
                  <c:v>0.52873563218390807</c:v>
                </c:pt>
                <c:pt idx="1">
                  <c:v>0.52873563218390807</c:v>
                </c:pt>
                <c:pt idx="2">
                  <c:v>0.52873563218390807</c:v>
                </c:pt>
                <c:pt idx="3">
                  <c:v>0.7183908045977011</c:v>
                </c:pt>
                <c:pt idx="4">
                  <c:v>0.7183908045977011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959328"/>
        <c:axId val="563673832"/>
      </c:lineChart>
      <c:catAx>
        <c:axId val="45327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8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3278168"/>
        <c:crosses val="autoZero"/>
        <c:auto val="1"/>
        <c:lblAlgn val="ctr"/>
        <c:lblOffset val="100"/>
        <c:noMultiLvlLbl val="0"/>
      </c:catAx>
      <c:valAx>
        <c:axId val="453278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3276992"/>
        <c:crosses val="autoZero"/>
        <c:crossBetween val="between"/>
      </c:valAx>
      <c:valAx>
        <c:axId val="5636738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02959328"/>
        <c:crosses val="max"/>
        <c:crossBetween val="between"/>
      </c:valAx>
      <c:catAx>
        <c:axId val="502959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367383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Grafico </a:t>
            </a:r>
          </a:p>
          <a:p>
            <a:pPr>
              <a:defRPr/>
            </a:pPr>
            <a:r>
              <a:rPr lang="es-PE"/>
              <a:t>Provincia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Hoja7!$D$2:$D$9</c:f>
              <c:numCache>
                <c:formatCode>General</c:formatCode>
                <c:ptCount val="8"/>
                <c:pt idx="0">
                  <c:v>92</c:v>
                </c:pt>
                <c:pt idx="1">
                  <c:v>0</c:v>
                </c:pt>
                <c:pt idx="2">
                  <c:v>0</c:v>
                </c:pt>
                <c:pt idx="3">
                  <c:v>33</c:v>
                </c:pt>
                <c:pt idx="4">
                  <c:v>0</c:v>
                </c:pt>
                <c:pt idx="5">
                  <c:v>49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2604608"/>
        <c:axId val="502605000"/>
      </c:barChart>
      <c:catAx>
        <c:axId val="50260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marca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02605000"/>
        <c:crosses val="autoZero"/>
        <c:auto val="1"/>
        <c:lblAlgn val="ctr"/>
        <c:lblOffset val="100"/>
        <c:noMultiLvlLbl val="0"/>
      </c:catAx>
      <c:valAx>
        <c:axId val="50260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02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0</xdr:row>
      <xdr:rowOff>180975</xdr:rowOff>
    </xdr:from>
    <xdr:to>
      <xdr:col>14</xdr:col>
      <xdr:colOff>238125</xdr:colOff>
      <xdr:row>12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390525</xdr:colOff>
      <xdr:row>13</xdr:row>
      <xdr:rowOff>71437</xdr:rowOff>
    </xdr:from>
    <xdr:to>
      <xdr:col>7</xdr:col>
      <xdr:colOff>85725</xdr:colOff>
      <xdr:row>27</xdr:row>
      <xdr:rowOff>147637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180975</xdr:rowOff>
    </xdr:from>
    <xdr:to>
      <xdr:col>13</xdr:col>
      <xdr:colOff>238125</xdr:colOff>
      <xdr:row>16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542925</xdr:colOff>
      <xdr:row>12</xdr:row>
      <xdr:rowOff>119062</xdr:rowOff>
    </xdr:from>
    <xdr:to>
      <xdr:col>7</xdr:col>
      <xdr:colOff>447675</xdr:colOff>
      <xdr:row>27</xdr:row>
      <xdr:rowOff>4762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0</xdr:row>
      <xdr:rowOff>171450</xdr:rowOff>
    </xdr:from>
    <xdr:to>
      <xdr:col>13</xdr:col>
      <xdr:colOff>266700</xdr:colOff>
      <xdr:row>13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404812</xdr:colOff>
      <xdr:row>13</xdr:row>
      <xdr:rowOff>4762</xdr:rowOff>
    </xdr:from>
    <xdr:to>
      <xdr:col>8</xdr:col>
      <xdr:colOff>404812</xdr:colOff>
      <xdr:row>27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180975</xdr:rowOff>
    </xdr:from>
    <xdr:to>
      <xdr:col>13</xdr:col>
      <xdr:colOff>238125</xdr:colOff>
      <xdr:row>10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33337</xdr:colOff>
      <xdr:row>13</xdr:row>
      <xdr:rowOff>176212</xdr:rowOff>
    </xdr:from>
    <xdr:to>
      <xdr:col>9</xdr:col>
      <xdr:colOff>519112</xdr:colOff>
      <xdr:row>28</xdr:row>
      <xdr:rowOff>61912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5" zoomScaleNormal="85" workbookViewId="0">
      <selection activeCell="D9" sqref="D9"/>
    </sheetView>
  </sheetViews>
  <sheetFormatPr baseColWidth="10" defaultRowHeight="15"/>
  <cols>
    <col min="4" max="4" width="10.85546875" bestFit="1" customWidth="1"/>
    <col min="5" max="5" width="13" bestFit="1" customWidth="1"/>
    <col min="6" max="6" width="13" customWidth="1"/>
    <col min="7" max="7" width="13.42578125" bestFit="1" customWidth="1"/>
  </cols>
  <sheetData>
    <row r="1" spans="1:7">
      <c r="A1" s="42" t="s">
        <v>88</v>
      </c>
      <c r="B1" s="41"/>
      <c r="C1" s="40" t="s">
        <v>89</v>
      </c>
      <c r="D1" s="40" t="s">
        <v>84</v>
      </c>
      <c r="E1" s="40" t="s">
        <v>86</v>
      </c>
      <c r="F1" s="40" t="s">
        <v>87</v>
      </c>
      <c r="G1" s="40" t="s">
        <v>85</v>
      </c>
    </row>
    <row r="2" spans="1:7">
      <c r="A2">
        <v>0</v>
      </c>
      <c r="B2">
        <v>142</v>
      </c>
      <c r="C2" s="35">
        <f>(A2+B2)/2</f>
        <v>71</v>
      </c>
      <c r="D2" s="36">
        <v>115</v>
      </c>
      <c r="E2" s="36">
        <f>D2</f>
        <v>115</v>
      </c>
      <c r="F2" s="37">
        <f>D2/$E$9</f>
        <v>0.65714285714285714</v>
      </c>
      <c r="G2" s="37">
        <v>0.65517241379310343</v>
      </c>
    </row>
    <row r="3" spans="1:7">
      <c r="A3">
        <v>143</v>
      </c>
      <c r="B3">
        <v>285</v>
      </c>
      <c r="C3" s="35">
        <f t="shared" ref="C3:C9" si="0">(A3+B3)/2</f>
        <v>214</v>
      </c>
      <c r="D3" s="36">
        <v>18</v>
      </c>
      <c r="E3" s="36">
        <f>E2+D3</f>
        <v>133</v>
      </c>
      <c r="F3" s="37">
        <f t="shared" ref="F3:F9" si="1">D3/$E$9</f>
        <v>0.10285714285714286</v>
      </c>
      <c r="G3" s="37">
        <v>0.75862068965517238</v>
      </c>
    </row>
    <row r="4" spans="1:7">
      <c r="A4">
        <v>286</v>
      </c>
      <c r="B4">
        <v>428</v>
      </c>
      <c r="C4" s="35">
        <f t="shared" si="0"/>
        <v>357</v>
      </c>
      <c r="D4" s="36">
        <v>18</v>
      </c>
      <c r="E4" s="36">
        <f t="shared" ref="E4:E9" si="2">E3+D4</f>
        <v>151</v>
      </c>
      <c r="F4" s="37">
        <f t="shared" si="1"/>
        <v>0.10285714285714286</v>
      </c>
      <c r="G4" s="37">
        <v>0.86206896551724133</v>
      </c>
    </row>
    <row r="5" spans="1:7">
      <c r="A5">
        <v>429</v>
      </c>
      <c r="B5">
        <v>571</v>
      </c>
      <c r="C5" s="35">
        <f t="shared" si="0"/>
        <v>500</v>
      </c>
      <c r="D5" s="36">
        <v>0</v>
      </c>
      <c r="E5" s="36">
        <f t="shared" si="2"/>
        <v>151</v>
      </c>
      <c r="F5" s="37">
        <f t="shared" si="1"/>
        <v>0</v>
      </c>
      <c r="G5" s="37">
        <v>0.86206896551724133</v>
      </c>
    </row>
    <row r="6" spans="1:7">
      <c r="A6">
        <v>572</v>
      </c>
      <c r="B6">
        <v>714</v>
      </c>
      <c r="C6" s="35">
        <f t="shared" si="0"/>
        <v>643</v>
      </c>
      <c r="D6" s="36">
        <v>0</v>
      </c>
      <c r="E6" s="36">
        <f t="shared" si="2"/>
        <v>151</v>
      </c>
      <c r="F6" s="37">
        <f t="shared" si="1"/>
        <v>0</v>
      </c>
      <c r="G6" s="37">
        <v>0.86206896551724133</v>
      </c>
    </row>
    <row r="7" spans="1:7">
      <c r="A7">
        <v>715</v>
      </c>
      <c r="B7">
        <v>857</v>
      </c>
      <c r="C7" s="35">
        <f t="shared" si="0"/>
        <v>786</v>
      </c>
      <c r="D7" s="36">
        <v>0</v>
      </c>
      <c r="E7" s="36">
        <f t="shared" si="2"/>
        <v>151</v>
      </c>
      <c r="F7" s="37">
        <f t="shared" si="1"/>
        <v>0</v>
      </c>
      <c r="G7" s="37">
        <v>0.86206896551724133</v>
      </c>
    </row>
    <row r="8" spans="1:7">
      <c r="A8">
        <v>858</v>
      </c>
      <c r="B8">
        <v>1000</v>
      </c>
      <c r="C8" s="35">
        <f t="shared" si="0"/>
        <v>929</v>
      </c>
      <c r="D8" s="36">
        <v>0</v>
      </c>
      <c r="E8" s="36">
        <f t="shared" si="2"/>
        <v>151</v>
      </c>
      <c r="F8" s="37">
        <f t="shared" si="1"/>
        <v>0</v>
      </c>
      <c r="G8" s="37">
        <v>0.86206896551724133</v>
      </c>
    </row>
    <row r="9" spans="1:7">
      <c r="A9">
        <v>1001</v>
      </c>
      <c r="B9">
        <v>1143</v>
      </c>
      <c r="C9" s="35">
        <f t="shared" si="0"/>
        <v>1072</v>
      </c>
      <c r="D9" s="36">
        <v>24</v>
      </c>
      <c r="E9" s="36">
        <f t="shared" si="2"/>
        <v>175</v>
      </c>
      <c r="F9" s="37">
        <f t="shared" si="1"/>
        <v>0.13714285714285715</v>
      </c>
      <c r="G9" s="37">
        <v>1</v>
      </c>
    </row>
    <row r="10" spans="1:7" ht="15.75" thickBot="1">
      <c r="C10" s="38" t="s">
        <v>83</v>
      </c>
      <c r="D10" s="38">
        <v>0</v>
      </c>
      <c r="E10" s="38"/>
      <c r="F10" s="38"/>
      <c r="G10" s="39">
        <v>1</v>
      </c>
    </row>
  </sheetData>
  <sortState ref="C2:C9">
    <sortCondition ref="C2"/>
  </sortState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24" sqref="I24"/>
    </sheetView>
  </sheetViews>
  <sheetFormatPr baseColWidth="10" defaultRowHeight="15"/>
  <cols>
    <col min="4" max="4" width="10.85546875" bestFit="1" customWidth="1"/>
    <col min="5" max="5" width="13.42578125" bestFit="1" customWidth="1"/>
  </cols>
  <sheetData>
    <row r="1" spans="1:6">
      <c r="A1" s="42" t="s">
        <v>113</v>
      </c>
      <c r="B1" s="41"/>
      <c r="C1" s="55" t="s">
        <v>89</v>
      </c>
      <c r="D1" s="40" t="s">
        <v>84</v>
      </c>
      <c r="E1" s="40" t="s">
        <v>112</v>
      </c>
      <c r="F1" s="40" t="s">
        <v>85</v>
      </c>
    </row>
    <row r="2" spans="1:6">
      <c r="A2" s="7">
        <v>10109</v>
      </c>
      <c r="B2" s="8">
        <v>36459</v>
      </c>
      <c r="C2" s="8">
        <v>23284</v>
      </c>
      <c r="D2" s="36">
        <v>125</v>
      </c>
      <c r="E2" s="36">
        <f>D2</f>
        <v>125</v>
      </c>
      <c r="F2" s="37">
        <v>0.71264367816091956</v>
      </c>
    </row>
    <row r="3" spans="1:6">
      <c r="A3" s="8">
        <v>36460</v>
      </c>
      <c r="B3" s="8">
        <v>62810</v>
      </c>
      <c r="C3" s="8">
        <v>49635</v>
      </c>
      <c r="D3" s="36">
        <v>5</v>
      </c>
      <c r="E3" s="36">
        <f>+E2+D3</f>
        <v>130</v>
      </c>
      <c r="F3" s="37">
        <v>0.74137931034482762</v>
      </c>
    </row>
    <row r="4" spans="1:6">
      <c r="A4" s="8">
        <v>62811</v>
      </c>
      <c r="B4" s="8">
        <v>89161</v>
      </c>
      <c r="C4" s="8">
        <v>75986</v>
      </c>
      <c r="D4" s="36">
        <v>6</v>
      </c>
      <c r="E4" s="36">
        <f t="shared" ref="E4:E9" si="0">+E3+D4</f>
        <v>136</v>
      </c>
      <c r="F4" s="37">
        <v>0.77586206896551724</v>
      </c>
    </row>
    <row r="5" spans="1:6">
      <c r="A5" s="8">
        <v>89162</v>
      </c>
      <c r="B5" s="8">
        <v>115512</v>
      </c>
      <c r="C5" s="8">
        <v>102337</v>
      </c>
      <c r="D5" s="36">
        <v>6</v>
      </c>
      <c r="E5" s="36">
        <f t="shared" si="0"/>
        <v>142</v>
      </c>
      <c r="F5" s="37">
        <v>0.81034482758620685</v>
      </c>
    </row>
    <row r="6" spans="1:6">
      <c r="A6" s="8">
        <v>115513</v>
      </c>
      <c r="B6" s="8">
        <v>141863</v>
      </c>
      <c r="C6" s="8">
        <v>128688</v>
      </c>
      <c r="D6" s="36">
        <v>5</v>
      </c>
      <c r="E6" s="36">
        <f t="shared" si="0"/>
        <v>147</v>
      </c>
      <c r="F6" s="37">
        <v>0.83908045977011492</v>
      </c>
    </row>
    <row r="7" spans="1:6">
      <c r="A7" s="8">
        <v>141864</v>
      </c>
      <c r="B7" s="8">
        <v>168214</v>
      </c>
      <c r="C7" s="8">
        <v>155039</v>
      </c>
      <c r="D7" s="36">
        <v>15</v>
      </c>
      <c r="E7" s="36">
        <f t="shared" si="0"/>
        <v>162</v>
      </c>
      <c r="F7" s="37">
        <v>0.92528735632183912</v>
      </c>
    </row>
    <row r="8" spans="1:6">
      <c r="A8" s="8">
        <v>168215</v>
      </c>
      <c r="B8" s="8">
        <v>194565</v>
      </c>
      <c r="C8" s="8">
        <v>181390</v>
      </c>
      <c r="D8" s="36">
        <v>0</v>
      </c>
      <c r="E8" s="36">
        <f t="shared" si="0"/>
        <v>162</v>
      </c>
      <c r="F8" s="37">
        <v>0.92528735632183912</v>
      </c>
    </row>
    <row r="9" spans="1:6">
      <c r="A9" s="8">
        <v>194566</v>
      </c>
      <c r="B9" s="8">
        <v>220916</v>
      </c>
      <c r="C9" s="8">
        <v>207741</v>
      </c>
      <c r="D9" s="36">
        <v>13</v>
      </c>
      <c r="E9" s="36">
        <f t="shared" si="0"/>
        <v>175</v>
      </c>
      <c r="F9" s="37">
        <v>1</v>
      </c>
    </row>
    <row r="10" spans="1:6" ht="15.75" thickBot="1">
      <c r="C10" s="38" t="s">
        <v>83</v>
      </c>
      <c r="D10" s="38">
        <v>0</v>
      </c>
      <c r="E10" s="38"/>
      <c r="F10" s="39">
        <v>1</v>
      </c>
    </row>
  </sheetData>
  <sortState ref="C2:C9">
    <sortCondition ref="C2"/>
  </sortState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K17" sqref="K17"/>
    </sheetView>
  </sheetViews>
  <sheetFormatPr baseColWidth="10" defaultRowHeight="15"/>
  <sheetData>
    <row r="1" spans="1:6">
      <c r="A1" s="42" t="s">
        <v>88</v>
      </c>
      <c r="B1" s="41"/>
      <c r="C1" s="40" t="s">
        <v>89</v>
      </c>
      <c r="D1" s="40" t="s">
        <v>84</v>
      </c>
      <c r="E1" s="40" t="s">
        <v>116</v>
      </c>
      <c r="F1" s="40" t="s">
        <v>85</v>
      </c>
    </row>
    <row r="2" spans="1:6">
      <c r="A2">
        <v>5</v>
      </c>
      <c r="B2">
        <v>16</v>
      </c>
      <c r="C2" s="35">
        <v>10.5</v>
      </c>
      <c r="D2" s="36">
        <v>63</v>
      </c>
      <c r="E2" s="36">
        <f>D2</f>
        <v>63</v>
      </c>
      <c r="F2" s="37">
        <v>0.35632183908045978</v>
      </c>
    </row>
    <row r="3" spans="1:6">
      <c r="A3">
        <v>17</v>
      </c>
      <c r="B3">
        <v>28</v>
      </c>
      <c r="C3" s="35">
        <v>22.5</v>
      </c>
      <c r="D3" s="36">
        <v>18</v>
      </c>
      <c r="E3" s="36">
        <f>E2+D3</f>
        <v>81</v>
      </c>
      <c r="F3" s="37">
        <v>0.45977011494252873</v>
      </c>
    </row>
    <row r="4" spans="1:6">
      <c r="A4">
        <v>29</v>
      </c>
      <c r="B4">
        <v>40</v>
      </c>
      <c r="C4" s="35">
        <v>34.5</v>
      </c>
      <c r="D4" s="36">
        <v>0</v>
      </c>
      <c r="E4" s="36">
        <f t="shared" ref="E4:E9" si="0">E3+D4</f>
        <v>81</v>
      </c>
      <c r="F4" s="37">
        <v>0.45977011494252873</v>
      </c>
    </row>
    <row r="5" spans="1:6">
      <c r="A5">
        <v>41</v>
      </c>
      <c r="B5">
        <v>52</v>
      </c>
      <c r="C5" s="35">
        <v>46.5</v>
      </c>
      <c r="D5" s="36">
        <v>0</v>
      </c>
      <c r="E5" s="36">
        <f t="shared" si="0"/>
        <v>81</v>
      </c>
      <c r="F5" s="37">
        <v>0.45977011494252873</v>
      </c>
    </row>
    <row r="6" spans="1:6">
      <c r="A6">
        <v>53</v>
      </c>
      <c r="B6">
        <v>64</v>
      </c>
      <c r="C6" s="35">
        <v>58.5</v>
      </c>
      <c r="D6" s="36">
        <v>0</v>
      </c>
      <c r="E6" s="36">
        <f t="shared" si="0"/>
        <v>81</v>
      </c>
      <c r="F6" s="37">
        <v>0.45977011494252873</v>
      </c>
    </row>
    <row r="7" spans="1:6">
      <c r="A7">
        <v>65</v>
      </c>
      <c r="B7">
        <v>76</v>
      </c>
      <c r="C7" s="35">
        <v>70.5</v>
      </c>
      <c r="D7" s="36">
        <v>0</v>
      </c>
      <c r="E7" s="36">
        <f t="shared" si="0"/>
        <v>81</v>
      </c>
      <c r="F7" s="37">
        <v>0.45977011494252873</v>
      </c>
    </row>
    <row r="8" spans="1:6">
      <c r="A8">
        <v>77</v>
      </c>
      <c r="B8">
        <v>88</v>
      </c>
      <c r="C8" s="35">
        <v>82.5</v>
      </c>
      <c r="D8" s="36">
        <v>0</v>
      </c>
      <c r="E8" s="36">
        <f t="shared" si="0"/>
        <v>81</v>
      </c>
      <c r="F8" s="37">
        <v>0.45977011494252873</v>
      </c>
    </row>
    <row r="9" spans="1:6">
      <c r="A9">
        <v>89</v>
      </c>
      <c r="B9">
        <v>100</v>
      </c>
      <c r="C9" s="35">
        <v>94.5</v>
      </c>
      <c r="D9" s="36">
        <v>94</v>
      </c>
      <c r="E9" s="36">
        <f t="shared" si="0"/>
        <v>175</v>
      </c>
      <c r="F9" s="37">
        <v>1</v>
      </c>
    </row>
    <row r="10" spans="1:6" ht="15.75" thickBot="1">
      <c r="C10" s="38" t="s">
        <v>83</v>
      </c>
      <c r="D10" s="38">
        <v>0</v>
      </c>
      <c r="E10" s="38"/>
      <c r="F10" s="39">
        <v>1</v>
      </c>
    </row>
  </sheetData>
  <sortState ref="C2:C9">
    <sortCondition ref="C2"/>
  </sortState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19" workbookViewId="0">
      <selection activeCell="L22" sqref="L22"/>
    </sheetView>
  </sheetViews>
  <sheetFormatPr baseColWidth="10" defaultRowHeight="15"/>
  <cols>
    <col min="4" max="4" width="10.85546875" bestFit="1" customWidth="1"/>
    <col min="5" max="5" width="13.5703125" bestFit="1" customWidth="1"/>
    <col min="6" max="6" width="13.42578125" bestFit="1" customWidth="1"/>
  </cols>
  <sheetData>
    <row r="1" spans="1:6" ht="15.75">
      <c r="A1" s="52" t="s">
        <v>118</v>
      </c>
      <c r="B1" s="52"/>
      <c r="C1" s="65" t="s">
        <v>119</v>
      </c>
      <c r="D1" s="65" t="s">
        <v>84</v>
      </c>
      <c r="E1" s="65" t="s">
        <v>117</v>
      </c>
      <c r="F1" s="65" t="s">
        <v>85</v>
      </c>
    </row>
    <row r="2" spans="1:6">
      <c r="A2">
        <v>2</v>
      </c>
      <c r="B2">
        <v>8</v>
      </c>
      <c r="C2" s="35">
        <v>5</v>
      </c>
      <c r="D2" s="36">
        <v>92</v>
      </c>
      <c r="E2" s="36">
        <f>D2</f>
        <v>92</v>
      </c>
      <c r="F2" s="37">
        <v>0.52873563218390807</v>
      </c>
    </row>
    <row r="3" spans="1:6">
      <c r="A3">
        <v>9</v>
      </c>
      <c r="B3">
        <v>15</v>
      </c>
      <c r="C3" s="35">
        <v>12</v>
      </c>
      <c r="D3" s="36">
        <v>0</v>
      </c>
      <c r="E3" s="36">
        <f>E2+D3</f>
        <v>92</v>
      </c>
      <c r="F3" s="37">
        <v>0.52873563218390807</v>
      </c>
    </row>
    <row r="4" spans="1:6">
      <c r="A4">
        <v>16</v>
      </c>
      <c r="B4">
        <v>22</v>
      </c>
      <c r="C4" s="35">
        <v>19</v>
      </c>
      <c r="D4" s="36">
        <v>0</v>
      </c>
      <c r="E4" s="36">
        <f t="shared" ref="E4:E8" si="0">E3+D4</f>
        <v>92</v>
      </c>
      <c r="F4" s="37">
        <v>0.52873563218390807</v>
      </c>
    </row>
    <row r="5" spans="1:6">
      <c r="A5">
        <v>23</v>
      </c>
      <c r="B5">
        <v>29</v>
      </c>
      <c r="C5" s="35">
        <v>26</v>
      </c>
      <c r="D5" s="36">
        <v>33</v>
      </c>
      <c r="E5" s="36">
        <f t="shared" si="0"/>
        <v>125</v>
      </c>
      <c r="F5" s="37">
        <v>0.7183908045977011</v>
      </c>
    </row>
    <row r="6" spans="1:6">
      <c r="A6">
        <v>30</v>
      </c>
      <c r="B6">
        <v>36</v>
      </c>
      <c r="C6" s="35">
        <v>33</v>
      </c>
      <c r="D6" s="36">
        <v>0</v>
      </c>
      <c r="E6" s="36">
        <f t="shared" si="0"/>
        <v>125</v>
      </c>
      <c r="F6" s="37">
        <v>0.7183908045977011</v>
      </c>
    </row>
    <row r="7" spans="1:6">
      <c r="A7">
        <v>37</v>
      </c>
      <c r="B7">
        <v>43</v>
      </c>
      <c r="C7" s="35">
        <v>40</v>
      </c>
      <c r="D7" s="36">
        <v>49</v>
      </c>
      <c r="E7" s="36">
        <f t="shared" si="0"/>
        <v>174</v>
      </c>
      <c r="F7" s="37">
        <v>1</v>
      </c>
    </row>
    <row r="8" spans="1:6">
      <c r="A8">
        <v>44</v>
      </c>
      <c r="B8">
        <v>50</v>
      </c>
      <c r="C8" s="35">
        <v>47</v>
      </c>
      <c r="D8" s="36">
        <v>0</v>
      </c>
      <c r="E8" s="36">
        <f t="shared" si="0"/>
        <v>174</v>
      </c>
      <c r="F8" s="37">
        <v>1</v>
      </c>
    </row>
    <row r="9" spans="1:6" ht="15.75" thickBot="1">
      <c r="A9">
        <v>51</v>
      </c>
      <c r="B9">
        <v>57</v>
      </c>
      <c r="C9" s="38">
        <v>54</v>
      </c>
      <c r="D9" s="38">
        <v>0</v>
      </c>
      <c r="E9" s="36"/>
      <c r="F9" s="39">
        <v>1</v>
      </c>
    </row>
  </sheetData>
  <sortState ref="C2:C8">
    <sortCondition ref="C2"/>
  </sortState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V55" zoomScaleNormal="100" workbookViewId="0">
      <selection activeCell="R56" sqref="R56:Y56"/>
    </sheetView>
  </sheetViews>
  <sheetFormatPr baseColWidth="10" defaultColWidth="14.42578125" defaultRowHeight="15" customHeight="1"/>
  <cols>
    <col min="1" max="1" width="12" bestFit="1" customWidth="1"/>
    <col min="2" max="2" width="8.42578125" bestFit="1" customWidth="1"/>
    <col min="3" max="3" width="21.5703125" bestFit="1" customWidth="1"/>
    <col min="4" max="4" width="20.85546875" customWidth="1"/>
    <col min="5" max="5" width="24.42578125" customWidth="1"/>
    <col min="6" max="6" width="12.85546875" bestFit="1" customWidth="1"/>
    <col min="7" max="7" width="20.85546875" bestFit="1" customWidth="1"/>
    <col min="8" max="8" width="22.85546875" bestFit="1" customWidth="1"/>
    <col min="9" max="9" width="17.140625" bestFit="1" customWidth="1"/>
    <col min="10" max="11" width="10.7109375" customWidth="1"/>
    <col min="12" max="12" width="23.140625" bestFit="1" customWidth="1"/>
    <col min="13" max="14" width="10.7109375" customWidth="1"/>
    <col min="15" max="15" width="32" customWidth="1"/>
    <col min="16" max="16" width="10" customWidth="1"/>
    <col min="17" max="17" width="16.140625" bestFit="1" customWidth="1"/>
    <col min="18" max="18" width="23.140625" bestFit="1" customWidth="1"/>
    <col min="19" max="19" width="22" customWidth="1"/>
    <col min="20" max="20" width="23.28515625" bestFit="1" customWidth="1"/>
    <col min="21" max="21" width="20" bestFit="1" customWidth="1"/>
    <col min="22" max="22" width="25.7109375" bestFit="1" customWidth="1"/>
    <col min="23" max="23" width="26" bestFit="1" customWidth="1"/>
    <col min="24" max="24" width="22.42578125" customWidth="1"/>
    <col min="25" max="25" width="24" bestFit="1" customWidth="1"/>
    <col min="26" max="26" width="10.7109375" customWidth="1"/>
    <col min="28" max="28" width="15.85546875" bestFit="1" customWidth="1"/>
  </cols>
  <sheetData>
    <row r="1" spans="1:29">
      <c r="M1" s="1"/>
      <c r="U1" s="17"/>
    </row>
    <row r="2" spans="1:29" ht="15.7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16"/>
      <c r="K2" s="1"/>
      <c r="L2" s="27" t="s">
        <v>110</v>
      </c>
      <c r="M2" s="28"/>
      <c r="N2" s="29"/>
      <c r="O2" s="1"/>
      <c r="P2" s="20" t="s">
        <v>81</v>
      </c>
      <c r="Q2" s="20"/>
      <c r="R2" s="20"/>
      <c r="S2" s="20"/>
      <c r="T2" s="20"/>
      <c r="U2" s="20"/>
      <c r="V2" s="20"/>
      <c r="W2" s="20"/>
      <c r="Y2" s="47" t="s">
        <v>106</v>
      </c>
      <c r="Z2" s="46"/>
      <c r="AB2" s="48" t="s">
        <v>102</v>
      </c>
      <c r="AC2" s="43"/>
    </row>
    <row r="3" spans="1:29" ht="15.75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16"/>
      <c r="L3" s="19" t="s">
        <v>15</v>
      </c>
      <c r="M3" s="9">
        <f>COUNT(A4:A178)</f>
        <v>175</v>
      </c>
      <c r="N3" s="4"/>
      <c r="P3" s="32" t="s">
        <v>82</v>
      </c>
      <c r="Q3" s="30" t="s">
        <v>26</v>
      </c>
      <c r="R3" s="30" t="s">
        <v>27</v>
      </c>
      <c r="S3" s="30" t="s">
        <v>28</v>
      </c>
      <c r="T3" s="30" t="s">
        <v>29</v>
      </c>
      <c r="U3" s="30" t="s">
        <v>30</v>
      </c>
      <c r="V3" s="30" t="s">
        <v>31</v>
      </c>
      <c r="W3" s="30" t="s">
        <v>32</v>
      </c>
      <c r="Y3" s="44" t="s">
        <v>90</v>
      </c>
      <c r="Z3" s="44">
        <v>246.8</v>
      </c>
      <c r="AB3" s="19" t="s">
        <v>103</v>
      </c>
      <c r="AC3" s="49">
        <f>_xlfn.QUARTILE.EXC(A4:A178,1)</f>
        <v>55</v>
      </c>
    </row>
    <row r="4" spans="1:29">
      <c r="A4" s="21">
        <v>5</v>
      </c>
      <c r="B4" s="21">
        <v>10109</v>
      </c>
      <c r="C4" s="21" t="s">
        <v>12</v>
      </c>
      <c r="D4" s="21" t="s">
        <v>13</v>
      </c>
      <c r="E4" s="21" t="s">
        <v>14</v>
      </c>
      <c r="F4" s="21">
        <v>2</v>
      </c>
      <c r="G4" s="21">
        <v>1</v>
      </c>
      <c r="H4" s="21">
        <v>0</v>
      </c>
      <c r="I4" s="21">
        <v>1</v>
      </c>
      <c r="J4" s="6"/>
      <c r="L4" s="9" t="s">
        <v>16</v>
      </c>
      <c r="M4" s="12">
        <f>MAX(A4:A178)</f>
        <v>1139</v>
      </c>
      <c r="N4" s="4"/>
      <c r="P4" s="14">
        <v>0</v>
      </c>
      <c r="Q4" s="14"/>
      <c r="R4" s="14"/>
      <c r="S4" s="14"/>
      <c r="T4" s="14"/>
      <c r="U4" s="14"/>
      <c r="V4" s="14"/>
      <c r="W4" s="14"/>
      <c r="Y4" s="44" t="s">
        <v>91</v>
      </c>
      <c r="Z4" s="44">
        <v>26.413386664225616</v>
      </c>
      <c r="AB4" s="19" t="s">
        <v>104</v>
      </c>
      <c r="AC4" s="4">
        <f>_xlfn.QUARTILE.EXC(A4:A178,2)</f>
        <v>84</v>
      </c>
    </row>
    <row r="5" spans="1:29">
      <c r="A5" s="21">
        <v>5</v>
      </c>
      <c r="B5" s="21">
        <v>10109</v>
      </c>
      <c r="C5" s="21" t="s">
        <v>12</v>
      </c>
      <c r="D5" s="21" t="s">
        <v>13</v>
      </c>
      <c r="E5" s="21" t="s">
        <v>14</v>
      </c>
      <c r="F5" s="21">
        <v>2</v>
      </c>
      <c r="G5" s="21">
        <v>0</v>
      </c>
      <c r="H5" s="21">
        <v>0</v>
      </c>
      <c r="I5" s="21">
        <v>0</v>
      </c>
      <c r="J5" s="6"/>
      <c r="L5" s="9" t="s">
        <v>17</v>
      </c>
      <c r="M5" s="12">
        <f>MIN(A4:A178)</f>
        <v>5</v>
      </c>
      <c r="N5" s="4"/>
      <c r="P5" s="14">
        <v>1</v>
      </c>
      <c r="Q5" s="13">
        <v>0</v>
      </c>
      <c r="R5" s="13">
        <f>Q5+$M$8</f>
        <v>142</v>
      </c>
      <c r="S5" s="13">
        <f>(Q5+R5)/2</f>
        <v>71</v>
      </c>
      <c r="T5" s="13">
        <f t="array" ref="T5:T12">+FREQUENCY(A4:A178,R5:R12)</f>
        <v>115</v>
      </c>
      <c r="U5" s="13">
        <f>T5</f>
        <v>115</v>
      </c>
      <c r="V5" s="13">
        <f>T5/$T$13</f>
        <v>0.65714285714285714</v>
      </c>
      <c r="W5" s="13">
        <f>U5/$T$13</f>
        <v>0.65714285714285714</v>
      </c>
      <c r="Y5" s="44" t="s">
        <v>92</v>
      </c>
      <c r="Z5" s="44">
        <v>84</v>
      </c>
      <c r="AB5" s="19" t="s">
        <v>105</v>
      </c>
      <c r="AC5" s="4">
        <f>_xlfn.QUARTILE.EXC(A4:A178,3)</f>
        <v>252</v>
      </c>
    </row>
    <row r="6" spans="1:29">
      <c r="A6" s="21">
        <v>5</v>
      </c>
      <c r="B6" s="21">
        <v>10109</v>
      </c>
      <c r="C6" s="21" t="s">
        <v>12</v>
      </c>
      <c r="D6" s="21" t="s">
        <v>13</v>
      </c>
      <c r="E6" s="21" t="s">
        <v>14</v>
      </c>
      <c r="F6" s="21">
        <v>1</v>
      </c>
      <c r="G6" s="21">
        <v>0</v>
      </c>
      <c r="H6" s="21">
        <v>0</v>
      </c>
      <c r="I6" s="21">
        <v>1</v>
      </c>
      <c r="J6" s="6"/>
      <c r="L6" s="9" t="s">
        <v>18</v>
      </c>
      <c r="M6" s="12">
        <f>M4-M5</f>
        <v>1134</v>
      </c>
      <c r="N6" s="4"/>
      <c r="P6" s="14">
        <v>2</v>
      </c>
      <c r="Q6" s="13">
        <f>R5+1</f>
        <v>143</v>
      </c>
      <c r="R6" s="13">
        <f>Q6+$M$8</f>
        <v>285</v>
      </c>
      <c r="S6" s="13">
        <f>(Q6+R6)/2</f>
        <v>214</v>
      </c>
      <c r="T6" s="13">
        <v>18</v>
      </c>
      <c r="U6" s="13">
        <f>U5+T6</f>
        <v>133</v>
      </c>
      <c r="V6" s="13">
        <f>T6/$T$13</f>
        <v>0.10285714285714286</v>
      </c>
      <c r="W6" s="13">
        <f>SUM(W5+V6)</f>
        <v>0.76</v>
      </c>
      <c r="Y6" s="44" t="s">
        <v>93</v>
      </c>
      <c r="Z6" s="44">
        <v>55</v>
      </c>
      <c r="AB6" s="51" t="s">
        <v>107</v>
      </c>
      <c r="AC6" s="4">
        <f>_xlfn.PERCENTILE.EXC(A4:A178,0.3)</f>
        <v>61.599999999999994</v>
      </c>
    </row>
    <row r="7" spans="1:29">
      <c r="A7" s="21">
        <v>5</v>
      </c>
      <c r="B7" s="21">
        <v>10109</v>
      </c>
      <c r="C7" s="21" t="s">
        <v>12</v>
      </c>
      <c r="D7" s="21" t="s">
        <v>13</v>
      </c>
      <c r="E7" s="21" t="s">
        <v>14</v>
      </c>
      <c r="F7" s="21">
        <v>2</v>
      </c>
      <c r="G7" s="21">
        <v>0</v>
      </c>
      <c r="H7" s="21">
        <v>0</v>
      </c>
      <c r="I7" s="21">
        <v>0</v>
      </c>
      <c r="J7" s="6"/>
      <c r="L7" s="9" t="s">
        <v>21</v>
      </c>
      <c r="M7" s="9">
        <v>8</v>
      </c>
      <c r="N7" s="12">
        <f>1+3.322*LOG10(M3)</f>
        <v>8.4513723977358701</v>
      </c>
      <c r="P7" s="14">
        <v>3</v>
      </c>
      <c r="Q7" s="13">
        <f>R6+1</f>
        <v>286</v>
      </c>
      <c r="R7" s="13">
        <f>Q7+$M$8</f>
        <v>428</v>
      </c>
      <c r="S7" s="13">
        <f>(Q7+R7)/2</f>
        <v>357</v>
      </c>
      <c r="T7" s="13">
        <v>18</v>
      </c>
      <c r="U7" s="13">
        <f>U6+T7</f>
        <v>151</v>
      </c>
      <c r="V7" s="13">
        <f>T7/$T$13</f>
        <v>0.10285714285714286</v>
      </c>
      <c r="W7" s="13">
        <f>SUM(W6+V7)</f>
        <v>0.86285714285714288</v>
      </c>
      <c r="Y7" s="44" t="s">
        <v>94</v>
      </c>
      <c r="Z7" s="44">
        <v>349.41626198265448</v>
      </c>
      <c r="AB7" s="51" t="s">
        <v>108</v>
      </c>
      <c r="AC7" s="4">
        <f>_xlfn.PERCENTILE.EXC(A4:A178,0.5)</f>
        <v>84</v>
      </c>
    </row>
    <row r="8" spans="1:29">
      <c r="A8" s="21">
        <v>15</v>
      </c>
      <c r="B8" s="21">
        <v>10202</v>
      </c>
      <c r="C8" s="21" t="s">
        <v>12</v>
      </c>
      <c r="D8" s="21" t="s">
        <v>19</v>
      </c>
      <c r="E8" s="21" t="s">
        <v>20</v>
      </c>
      <c r="F8" s="21">
        <v>2</v>
      </c>
      <c r="G8" s="21">
        <v>1</v>
      </c>
      <c r="H8" s="21">
        <v>0</v>
      </c>
      <c r="I8" s="21">
        <v>1</v>
      </c>
      <c r="J8" s="6"/>
      <c r="L8" s="9" t="s">
        <v>22</v>
      </c>
      <c r="M8" s="9">
        <v>142</v>
      </c>
      <c r="N8" s="12">
        <f>M6/M7</f>
        <v>141.75</v>
      </c>
      <c r="P8" s="14">
        <v>4</v>
      </c>
      <c r="Q8" s="13">
        <f>R7+1</f>
        <v>429</v>
      </c>
      <c r="R8" s="13">
        <f>Q8+$M$8</f>
        <v>571</v>
      </c>
      <c r="S8" s="13">
        <f>(Q8+R8)/2</f>
        <v>500</v>
      </c>
      <c r="T8" s="13">
        <v>0</v>
      </c>
      <c r="U8" s="13">
        <f>U7+T8</f>
        <v>151</v>
      </c>
      <c r="V8" s="13">
        <f>T8/$T$13</f>
        <v>0</v>
      </c>
      <c r="W8" s="13">
        <f>SUM(W7+V8)</f>
        <v>0.86285714285714288</v>
      </c>
      <c r="Y8" s="44" t="s">
        <v>95</v>
      </c>
      <c r="Z8" s="44">
        <v>122091.72413793103</v>
      </c>
      <c r="AB8" s="51" t="s">
        <v>109</v>
      </c>
      <c r="AC8" s="4">
        <f>_xlfn.PERCENTILE.EXC(A4:A178,0.8)</f>
        <v>310</v>
      </c>
    </row>
    <row r="9" spans="1:29">
      <c r="A9" s="21">
        <v>15</v>
      </c>
      <c r="B9" s="21">
        <v>10202</v>
      </c>
      <c r="C9" s="21" t="s">
        <v>12</v>
      </c>
      <c r="D9" s="21" t="s">
        <v>19</v>
      </c>
      <c r="E9" s="21" t="s">
        <v>20</v>
      </c>
      <c r="F9" s="21">
        <v>2</v>
      </c>
      <c r="G9" s="21">
        <v>0</v>
      </c>
      <c r="H9" s="21">
        <v>0</v>
      </c>
      <c r="I9" s="21">
        <v>0</v>
      </c>
      <c r="J9" s="6"/>
      <c r="L9" s="1"/>
      <c r="P9" s="14">
        <v>5</v>
      </c>
      <c r="Q9" s="13">
        <f>R8+1</f>
        <v>572</v>
      </c>
      <c r="R9" s="13">
        <f>Q9+$M$8</f>
        <v>714</v>
      </c>
      <c r="S9" s="13">
        <f>(Q9+R9)/2</f>
        <v>643</v>
      </c>
      <c r="T9" s="13">
        <v>0</v>
      </c>
      <c r="U9" s="13">
        <f>U8+T9</f>
        <v>151</v>
      </c>
      <c r="V9" s="13">
        <f>T9/$T$13</f>
        <v>0</v>
      </c>
      <c r="W9" s="13">
        <f>SUM(W8+V9)</f>
        <v>0.86285714285714288</v>
      </c>
      <c r="Y9" s="44" t="s">
        <v>96</v>
      </c>
      <c r="Z9" s="44">
        <v>1.966693309861641</v>
      </c>
    </row>
    <row r="10" spans="1:29">
      <c r="A10" s="21">
        <v>17</v>
      </c>
      <c r="B10" s="21">
        <v>140120</v>
      </c>
      <c r="C10" s="21" t="s">
        <v>23</v>
      </c>
      <c r="D10" s="21" t="s">
        <v>24</v>
      </c>
      <c r="E10" s="21" t="s">
        <v>25</v>
      </c>
      <c r="F10" s="21">
        <v>1</v>
      </c>
      <c r="G10" s="21">
        <v>0</v>
      </c>
      <c r="H10" s="21">
        <v>0</v>
      </c>
      <c r="I10" s="21">
        <v>1</v>
      </c>
      <c r="J10" s="6"/>
      <c r="L10" s="1"/>
      <c r="P10" s="14">
        <v>6</v>
      </c>
      <c r="Q10" s="13">
        <f>R9+1</f>
        <v>715</v>
      </c>
      <c r="R10" s="13">
        <f>Q10+$M$8</f>
        <v>857</v>
      </c>
      <c r="S10" s="13">
        <f>(Q10+R10)/2</f>
        <v>786</v>
      </c>
      <c r="T10" s="13">
        <v>0</v>
      </c>
      <c r="U10" s="13">
        <f>U9+T10</f>
        <v>151</v>
      </c>
      <c r="V10" s="13">
        <f>T10/$T$13</f>
        <v>0</v>
      </c>
      <c r="W10" s="13">
        <f>SUM(W9+V10)</f>
        <v>0.86285714285714288</v>
      </c>
      <c r="Y10" s="44" t="s">
        <v>97</v>
      </c>
      <c r="Z10" s="44">
        <v>1.8772939952480758</v>
      </c>
    </row>
    <row r="11" spans="1:29">
      <c r="A11" s="21">
        <v>17</v>
      </c>
      <c r="B11" s="21">
        <v>140120</v>
      </c>
      <c r="C11" s="21" t="s">
        <v>23</v>
      </c>
      <c r="D11" s="21" t="s">
        <v>24</v>
      </c>
      <c r="E11" s="21" t="s">
        <v>25</v>
      </c>
      <c r="F11" s="21">
        <v>2</v>
      </c>
      <c r="G11" s="21">
        <v>0</v>
      </c>
      <c r="H11" s="21">
        <v>0</v>
      </c>
      <c r="I11" s="21">
        <v>1</v>
      </c>
      <c r="J11" s="6"/>
      <c r="L11" s="1"/>
      <c r="P11" s="14">
        <v>7</v>
      </c>
      <c r="Q11" s="13">
        <f>R10+1</f>
        <v>858</v>
      </c>
      <c r="R11" s="13">
        <f>Q11+$M$8</f>
        <v>1000</v>
      </c>
      <c r="S11" s="13">
        <f>(Q11+R11)/2</f>
        <v>929</v>
      </c>
      <c r="T11" s="13">
        <v>0</v>
      </c>
      <c r="U11" s="13">
        <f>U10+T11</f>
        <v>151</v>
      </c>
      <c r="V11" s="13">
        <f>T11/$T$13</f>
        <v>0</v>
      </c>
      <c r="W11" s="13">
        <f>SUM(W10+V11)</f>
        <v>0.86285714285714288</v>
      </c>
      <c r="Y11" s="44" t="s">
        <v>10</v>
      </c>
      <c r="Z11" s="44">
        <v>1134</v>
      </c>
    </row>
    <row r="12" spans="1:29">
      <c r="A12" s="21">
        <v>17</v>
      </c>
      <c r="B12" s="21">
        <v>140120</v>
      </c>
      <c r="C12" s="21" t="s">
        <v>23</v>
      </c>
      <c r="D12" s="21" t="s">
        <v>24</v>
      </c>
      <c r="E12" s="21" t="s">
        <v>25</v>
      </c>
      <c r="F12" s="21">
        <v>2</v>
      </c>
      <c r="G12" s="21">
        <v>1</v>
      </c>
      <c r="H12" s="21">
        <v>0</v>
      </c>
      <c r="I12" s="21">
        <v>1</v>
      </c>
      <c r="J12" s="6"/>
      <c r="L12" s="1"/>
      <c r="P12" s="14">
        <v>8</v>
      </c>
      <c r="Q12" s="13">
        <f>R11+1</f>
        <v>1001</v>
      </c>
      <c r="R12" s="13">
        <f>Q12+$M$8</f>
        <v>1143</v>
      </c>
      <c r="S12" s="13">
        <f>(Q12+R12)/2</f>
        <v>1072</v>
      </c>
      <c r="T12" s="13">
        <v>24</v>
      </c>
      <c r="U12" s="13">
        <f>U11+T12</f>
        <v>175</v>
      </c>
      <c r="V12" s="13">
        <f>T12/$T$13</f>
        <v>0.13714285714285715</v>
      </c>
      <c r="W12" s="13">
        <f>SUM(W11+V12)</f>
        <v>1</v>
      </c>
      <c r="Y12" s="44" t="s">
        <v>98</v>
      </c>
      <c r="Z12" s="44">
        <v>5</v>
      </c>
    </row>
    <row r="13" spans="1:29" ht="15.75">
      <c r="A13" s="21">
        <v>17</v>
      </c>
      <c r="B13" s="21">
        <v>140120</v>
      </c>
      <c r="C13" s="21" t="s">
        <v>23</v>
      </c>
      <c r="D13" s="21" t="s">
        <v>24</v>
      </c>
      <c r="E13" s="21" t="s">
        <v>25</v>
      </c>
      <c r="F13" s="21">
        <v>2</v>
      </c>
      <c r="G13" s="21">
        <v>0</v>
      </c>
      <c r="H13" s="21">
        <v>0</v>
      </c>
      <c r="I13" s="21">
        <v>0</v>
      </c>
      <c r="J13" s="6"/>
      <c r="L13" s="1"/>
      <c r="P13" s="14"/>
      <c r="Q13" s="18" t="s">
        <v>35</v>
      </c>
      <c r="R13" s="18"/>
      <c r="S13" s="18"/>
      <c r="T13" s="18">
        <f>SUM(T5:T12)</f>
        <v>175</v>
      </c>
      <c r="U13" s="18"/>
      <c r="V13" s="18">
        <f>SUM(V5:V12)</f>
        <v>1</v>
      </c>
      <c r="W13" s="18"/>
      <c r="Y13" s="44" t="s">
        <v>99</v>
      </c>
      <c r="Z13" s="44">
        <v>1139</v>
      </c>
    </row>
    <row r="14" spans="1:29">
      <c r="A14" s="21">
        <v>17</v>
      </c>
      <c r="B14" s="21">
        <v>140120</v>
      </c>
      <c r="C14" s="21" t="s">
        <v>23</v>
      </c>
      <c r="D14" s="21" t="s">
        <v>24</v>
      </c>
      <c r="E14" s="21" t="s">
        <v>25</v>
      </c>
      <c r="F14" s="21">
        <v>2</v>
      </c>
      <c r="G14" s="21">
        <v>0</v>
      </c>
      <c r="H14" s="21">
        <v>0</v>
      </c>
      <c r="I14" s="21">
        <v>0</v>
      </c>
      <c r="J14" s="6"/>
      <c r="L14" s="1"/>
      <c r="P14" s="31"/>
      <c r="Q14" s="31"/>
      <c r="R14" s="31"/>
      <c r="S14" s="31"/>
      <c r="T14" s="31"/>
      <c r="U14" s="31"/>
      <c r="V14" s="31"/>
      <c r="Y14" s="44" t="s">
        <v>100</v>
      </c>
      <c r="Z14" s="44">
        <v>43190</v>
      </c>
    </row>
    <row r="15" spans="1:29">
      <c r="A15" s="21">
        <v>24</v>
      </c>
      <c r="B15" s="21">
        <v>10202</v>
      </c>
      <c r="C15" s="21" t="s">
        <v>12</v>
      </c>
      <c r="D15" s="21" t="s">
        <v>19</v>
      </c>
      <c r="E15" s="21" t="s">
        <v>20</v>
      </c>
      <c r="F15" s="21">
        <v>1</v>
      </c>
      <c r="G15" s="21">
        <v>0</v>
      </c>
      <c r="H15" s="21">
        <v>0</v>
      </c>
      <c r="I15" s="21">
        <v>1</v>
      </c>
      <c r="J15" s="6"/>
      <c r="L15" s="1"/>
      <c r="Y15" s="44" t="s">
        <v>101</v>
      </c>
      <c r="Z15" s="44">
        <v>175</v>
      </c>
    </row>
    <row r="16" spans="1:29">
      <c r="A16" s="21">
        <v>24</v>
      </c>
      <c r="B16" s="21">
        <v>10202</v>
      </c>
      <c r="C16" s="21" t="s">
        <v>12</v>
      </c>
      <c r="D16" s="21" t="s">
        <v>19</v>
      </c>
      <c r="E16" s="21" t="s">
        <v>20</v>
      </c>
      <c r="F16" s="21">
        <v>2</v>
      </c>
      <c r="G16" s="21">
        <v>0</v>
      </c>
      <c r="H16" s="21">
        <v>0</v>
      </c>
      <c r="I16" s="21">
        <v>0</v>
      </c>
      <c r="J16" s="6"/>
      <c r="L16" s="1"/>
    </row>
    <row r="17" spans="1:29">
      <c r="A17" s="22">
        <v>24</v>
      </c>
      <c r="B17" s="22">
        <v>10202</v>
      </c>
      <c r="C17" s="22" t="s">
        <v>12</v>
      </c>
      <c r="D17" s="22" t="s">
        <v>19</v>
      </c>
      <c r="E17" s="22" t="s">
        <v>20</v>
      </c>
      <c r="F17" s="22">
        <v>1</v>
      </c>
      <c r="G17" s="22">
        <v>0</v>
      </c>
      <c r="H17" s="22">
        <v>0</v>
      </c>
      <c r="I17" s="22">
        <v>0</v>
      </c>
      <c r="J17" s="6"/>
      <c r="L17" s="1"/>
      <c r="Y17" s="16"/>
      <c r="Z17" s="16"/>
    </row>
    <row r="18" spans="1:29" ht="15.75">
      <c r="A18" s="22">
        <v>24</v>
      </c>
      <c r="B18" s="22">
        <v>10202</v>
      </c>
      <c r="C18" s="22" t="s">
        <v>12</v>
      </c>
      <c r="D18" s="22" t="s">
        <v>19</v>
      </c>
      <c r="E18" s="22" t="s">
        <v>20</v>
      </c>
      <c r="F18" s="22">
        <v>2</v>
      </c>
      <c r="G18" s="22">
        <v>1</v>
      </c>
      <c r="H18" s="22">
        <v>0</v>
      </c>
      <c r="I18" s="22">
        <v>1</v>
      </c>
      <c r="J18" s="6"/>
      <c r="L18" s="20" t="s">
        <v>37</v>
      </c>
      <c r="M18" s="10"/>
      <c r="N18" s="10"/>
      <c r="P18" s="20" t="s">
        <v>37</v>
      </c>
      <c r="Q18" s="20"/>
      <c r="R18" s="20"/>
      <c r="S18" s="20"/>
      <c r="T18" s="20"/>
      <c r="U18" s="20"/>
      <c r="V18" s="20"/>
      <c r="W18" s="20"/>
      <c r="Y18" s="48" t="s">
        <v>106</v>
      </c>
      <c r="Z18" s="43"/>
      <c r="AB18" s="48" t="s">
        <v>102</v>
      </c>
      <c r="AC18" s="43"/>
    </row>
    <row r="19" spans="1:29" ht="15.75">
      <c r="A19" s="22">
        <v>24</v>
      </c>
      <c r="B19" s="22">
        <v>10202</v>
      </c>
      <c r="C19" s="22" t="s">
        <v>12</v>
      </c>
      <c r="D19" s="22" t="s">
        <v>19</v>
      </c>
      <c r="E19" s="22" t="s">
        <v>20</v>
      </c>
      <c r="F19" s="22">
        <v>1</v>
      </c>
      <c r="G19" s="22">
        <v>0</v>
      </c>
      <c r="H19" s="22">
        <v>0</v>
      </c>
      <c r="I19" s="22">
        <v>0</v>
      </c>
      <c r="J19" s="6"/>
      <c r="L19" s="9" t="s">
        <v>15</v>
      </c>
      <c r="M19" s="9">
        <f>COUNT(B4:B178)</f>
        <v>175</v>
      </c>
      <c r="N19" s="4"/>
      <c r="P19" s="32" t="s">
        <v>82</v>
      </c>
      <c r="Q19" s="33" t="s">
        <v>26</v>
      </c>
      <c r="R19" s="33" t="s">
        <v>27</v>
      </c>
      <c r="S19" s="33" t="s">
        <v>28</v>
      </c>
      <c r="T19" s="33" t="s">
        <v>29</v>
      </c>
      <c r="U19" s="33" t="s">
        <v>30</v>
      </c>
      <c r="V19" s="33" t="s">
        <v>31</v>
      </c>
      <c r="W19" s="33" t="s">
        <v>32</v>
      </c>
      <c r="Y19" s="44"/>
      <c r="Z19" s="44"/>
      <c r="AB19" s="19" t="s">
        <v>103</v>
      </c>
      <c r="AC19" s="49">
        <f>_xlfn.QUARTILE.EXC(B4:B178,1)</f>
        <v>10205</v>
      </c>
    </row>
    <row r="20" spans="1:29">
      <c r="A20" s="22">
        <v>26</v>
      </c>
      <c r="B20" s="22">
        <v>10202</v>
      </c>
      <c r="C20" s="22" t="s">
        <v>12</v>
      </c>
      <c r="D20" s="22" t="s">
        <v>19</v>
      </c>
      <c r="E20" s="22" t="s">
        <v>20</v>
      </c>
      <c r="F20" s="22">
        <v>2</v>
      </c>
      <c r="G20" s="22">
        <v>1</v>
      </c>
      <c r="H20" s="22">
        <v>0</v>
      </c>
      <c r="I20" s="22">
        <v>1</v>
      </c>
      <c r="J20" s="6"/>
      <c r="L20" s="19" t="s">
        <v>111</v>
      </c>
      <c r="M20" s="12">
        <f>MAX(B4:B178)</f>
        <v>220913</v>
      </c>
      <c r="N20" s="4"/>
      <c r="P20" s="14">
        <v>0</v>
      </c>
      <c r="Q20" s="4"/>
      <c r="R20" s="4"/>
      <c r="S20" s="4"/>
      <c r="T20" s="4"/>
      <c r="U20" s="4"/>
      <c r="V20" s="4"/>
      <c r="W20" s="4"/>
      <c r="Y20" s="44" t="s">
        <v>90</v>
      </c>
      <c r="Z20" s="44">
        <v>51759.771428571432</v>
      </c>
      <c r="AB20" s="19" t="s">
        <v>104</v>
      </c>
      <c r="AC20" s="49">
        <f>_xlfn.QUARTILE.EXC(B4:B178,2)</f>
        <v>10401</v>
      </c>
    </row>
    <row r="21" spans="1:29" ht="15.75" customHeight="1">
      <c r="A21" s="22">
        <v>26</v>
      </c>
      <c r="B21" s="22">
        <v>10202</v>
      </c>
      <c r="C21" s="22" t="s">
        <v>12</v>
      </c>
      <c r="D21" s="22" t="s">
        <v>19</v>
      </c>
      <c r="E21" s="22" t="s">
        <v>20</v>
      </c>
      <c r="F21" s="22">
        <v>1</v>
      </c>
      <c r="G21" s="22">
        <v>0</v>
      </c>
      <c r="H21" s="22">
        <v>0</v>
      </c>
      <c r="I21" s="22">
        <v>0</v>
      </c>
      <c r="J21" s="6"/>
      <c r="L21" s="9" t="s">
        <v>17</v>
      </c>
      <c r="M21" s="12">
        <f>MIN(B4:B178)</f>
        <v>10109</v>
      </c>
      <c r="N21" s="4"/>
      <c r="P21" s="14">
        <v>1</v>
      </c>
      <c r="Q21" s="9">
        <v>10109</v>
      </c>
      <c r="R21" s="12">
        <f>SUM($M$24+Q21)</f>
        <v>36459</v>
      </c>
      <c r="S21" s="12">
        <f t="shared" ref="S21:S28" si="0">SUM(Q21+R21)/2</f>
        <v>23284</v>
      </c>
      <c r="T21" s="12">
        <f t="array" ref="T21:T28">+FREQUENCY(B4:B178,R21:R28)</f>
        <v>125</v>
      </c>
      <c r="U21" s="12">
        <f>T21</f>
        <v>125</v>
      </c>
      <c r="V21" s="12">
        <f ca="1">T21/$T$29</f>
        <v>0.7142857142857143</v>
      </c>
      <c r="W21" s="12">
        <f ca="1">V21</f>
        <v>0.7142857142857143</v>
      </c>
      <c r="Y21" s="44" t="s">
        <v>91</v>
      </c>
      <c r="Z21" s="44">
        <v>5080.5266089256811</v>
      </c>
      <c r="AB21" s="19" t="s">
        <v>105</v>
      </c>
      <c r="AC21" s="49">
        <f>_xlfn.QUARTILE.EXC(B4:B178,3)</f>
        <v>80105</v>
      </c>
    </row>
    <row r="22" spans="1:29" ht="15.75" customHeight="1">
      <c r="A22" s="22">
        <v>28</v>
      </c>
      <c r="B22" s="22">
        <v>220913</v>
      </c>
      <c r="C22" s="22" t="s">
        <v>33</v>
      </c>
      <c r="D22" s="22" t="s">
        <v>33</v>
      </c>
      <c r="E22" s="22" t="s">
        <v>34</v>
      </c>
      <c r="F22" s="22">
        <v>1</v>
      </c>
      <c r="G22" s="22">
        <v>0</v>
      </c>
      <c r="H22" s="22">
        <v>0</v>
      </c>
      <c r="I22" s="22">
        <v>1</v>
      </c>
      <c r="J22" s="6"/>
      <c r="L22" s="9" t="s">
        <v>18</v>
      </c>
      <c r="M22" s="12">
        <f>M20-M21</f>
        <v>210804</v>
      </c>
      <c r="N22" s="4"/>
      <c r="P22" s="14">
        <v>2</v>
      </c>
      <c r="Q22" s="12">
        <f t="shared" ref="Q22:Q28" si="1">R21+1</f>
        <v>36460</v>
      </c>
      <c r="R22" s="12">
        <f>SUM($M$24+Q22)</f>
        <v>62810</v>
      </c>
      <c r="S22" s="12">
        <f t="shared" si="0"/>
        <v>49635</v>
      </c>
      <c r="T22" s="12">
        <v>5</v>
      </c>
      <c r="U22" s="12">
        <f t="shared" ref="U22:U28" si="2">U21+T22</f>
        <v>130</v>
      </c>
      <c r="V22" s="12">
        <f ca="1">T22/$T$29</f>
        <v>2.8571428571428571E-2</v>
      </c>
      <c r="W22" s="12">
        <f t="shared" ref="W22:W28" ca="1" si="3">W21+V22</f>
        <v>0.74285714285714288</v>
      </c>
      <c r="Y22" s="44" t="s">
        <v>92</v>
      </c>
      <c r="Z22" s="44">
        <v>10401</v>
      </c>
      <c r="AB22" s="51" t="s">
        <v>107</v>
      </c>
      <c r="AC22" s="4">
        <f>_xlfn.PERCENTILE.EXC(B4:B178,0.3)</f>
        <v>10205</v>
      </c>
    </row>
    <row r="23" spans="1:29" ht="15.75" customHeight="1">
      <c r="A23" s="22">
        <v>28</v>
      </c>
      <c r="B23" s="22">
        <v>220913</v>
      </c>
      <c r="C23" s="22" t="s">
        <v>33</v>
      </c>
      <c r="D23" s="22" t="s">
        <v>33</v>
      </c>
      <c r="E23" s="22" t="s">
        <v>34</v>
      </c>
      <c r="F23" s="22">
        <v>2</v>
      </c>
      <c r="G23" s="22">
        <v>0</v>
      </c>
      <c r="H23" s="22">
        <v>0</v>
      </c>
      <c r="I23" s="22">
        <v>0</v>
      </c>
      <c r="J23" s="6"/>
      <c r="L23" s="9" t="s">
        <v>21</v>
      </c>
      <c r="M23" s="9">
        <v>8</v>
      </c>
      <c r="N23" s="12">
        <f>1+3.322*LOG10(M19)</f>
        <v>8.4513723977358701</v>
      </c>
      <c r="P23" s="14">
        <v>3</v>
      </c>
      <c r="Q23" s="12">
        <f t="shared" si="1"/>
        <v>62811</v>
      </c>
      <c r="R23" s="12">
        <f>SUM($M$24+Q23)</f>
        <v>89161</v>
      </c>
      <c r="S23" s="12">
        <f t="shared" si="0"/>
        <v>75986</v>
      </c>
      <c r="T23" s="12">
        <v>6</v>
      </c>
      <c r="U23" s="12">
        <f t="shared" si="2"/>
        <v>136</v>
      </c>
      <c r="V23" s="12">
        <f ca="1">T23/$T$29</f>
        <v>3.4285714285714287E-2</v>
      </c>
      <c r="W23" s="12">
        <f t="shared" ca="1" si="3"/>
        <v>0.77714285714285714</v>
      </c>
      <c r="Y23" s="44" t="s">
        <v>93</v>
      </c>
      <c r="Z23" s="44">
        <v>10205</v>
      </c>
      <c r="AB23" s="51" t="s">
        <v>108</v>
      </c>
      <c r="AC23" s="4">
        <f>_xlfn.PERCENTILE.EXC(B4:B178,0.5)</f>
        <v>10401</v>
      </c>
    </row>
    <row r="24" spans="1:29" ht="15.75" customHeight="1">
      <c r="A24" s="22">
        <v>28</v>
      </c>
      <c r="B24" s="22">
        <v>220913</v>
      </c>
      <c r="C24" s="22" t="s">
        <v>33</v>
      </c>
      <c r="D24" s="22" t="s">
        <v>33</v>
      </c>
      <c r="E24" s="22" t="s">
        <v>34</v>
      </c>
      <c r="F24" s="22">
        <v>2</v>
      </c>
      <c r="G24" s="22">
        <v>1</v>
      </c>
      <c r="H24" s="22">
        <v>0</v>
      </c>
      <c r="I24" s="22">
        <v>1</v>
      </c>
      <c r="J24" s="6"/>
      <c r="L24" s="9" t="s">
        <v>22</v>
      </c>
      <c r="M24" s="9">
        <v>26350</v>
      </c>
      <c r="N24" s="12">
        <f>M22/M23</f>
        <v>26350.5</v>
      </c>
      <c r="P24" s="14">
        <v>4</v>
      </c>
      <c r="Q24" s="12">
        <f t="shared" si="1"/>
        <v>89162</v>
      </c>
      <c r="R24" s="12">
        <f>SUM($M$24+Q24)</f>
        <v>115512</v>
      </c>
      <c r="S24" s="12">
        <f t="shared" si="0"/>
        <v>102337</v>
      </c>
      <c r="T24" s="12">
        <v>6</v>
      </c>
      <c r="U24" s="12">
        <f t="shared" si="2"/>
        <v>142</v>
      </c>
      <c r="V24" s="12">
        <f ca="1">T24/$T$29</f>
        <v>3.4285714285714287E-2</v>
      </c>
      <c r="W24" s="12">
        <f t="shared" ca="1" si="3"/>
        <v>0.81142857142857139</v>
      </c>
      <c r="Y24" s="44" t="s">
        <v>94</v>
      </c>
      <c r="Z24" s="44">
        <v>67209.049682318291</v>
      </c>
      <c r="AB24" s="51" t="s">
        <v>109</v>
      </c>
      <c r="AC24" s="4">
        <f>_xlfn.PERCENTILE.EXC(B4:B178,0.8)</f>
        <v>110108</v>
      </c>
    </row>
    <row r="25" spans="1:29" ht="15.75" customHeight="1">
      <c r="A25" s="22">
        <v>31</v>
      </c>
      <c r="B25" s="22">
        <v>10205</v>
      </c>
      <c r="C25" s="22" t="s">
        <v>12</v>
      </c>
      <c r="D25" s="22" t="s">
        <v>19</v>
      </c>
      <c r="E25" s="22" t="s">
        <v>36</v>
      </c>
      <c r="F25" s="22">
        <v>2</v>
      </c>
      <c r="G25" s="22">
        <v>0</v>
      </c>
      <c r="H25" s="22">
        <v>0</v>
      </c>
      <c r="I25" s="22">
        <v>0</v>
      </c>
      <c r="J25" s="6"/>
      <c r="P25" s="14">
        <v>5</v>
      </c>
      <c r="Q25" s="12">
        <f t="shared" si="1"/>
        <v>115513</v>
      </c>
      <c r="R25" s="12">
        <f>SUM($M$24+Q25)</f>
        <v>141863</v>
      </c>
      <c r="S25" s="12">
        <f t="shared" si="0"/>
        <v>128688</v>
      </c>
      <c r="T25" s="12">
        <v>5</v>
      </c>
      <c r="U25" s="12">
        <f t="shared" si="2"/>
        <v>147</v>
      </c>
      <c r="V25" s="12">
        <f ca="1">T25/$T$29</f>
        <v>2.8571428571428571E-2</v>
      </c>
      <c r="W25" s="12">
        <f t="shared" ca="1" si="3"/>
        <v>0.84</v>
      </c>
      <c r="Y25" s="44" t="s">
        <v>95</v>
      </c>
      <c r="Z25" s="44">
        <v>4517056359.2003288</v>
      </c>
    </row>
    <row r="26" spans="1:29" ht="15.75" customHeight="1">
      <c r="A26" s="22">
        <v>31</v>
      </c>
      <c r="B26" s="22">
        <v>10205</v>
      </c>
      <c r="C26" s="22" t="s">
        <v>12</v>
      </c>
      <c r="D26" s="22" t="s">
        <v>19</v>
      </c>
      <c r="E26" s="22" t="s">
        <v>36</v>
      </c>
      <c r="F26" s="22">
        <v>2</v>
      </c>
      <c r="G26" s="22">
        <v>1</v>
      </c>
      <c r="H26" s="22">
        <v>0</v>
      </c>
      <c r="I26" s="22">
        <v>1</v>
      </c>
      <c r="J26" s="6"/>
      <c r="P26" s="14">
        <v>6</v>
      </c>
      <c r="Q26" s="12">
        <f t="shared" si="1"/>
        <v>141864</v>
      </c>
      <c r="R26" s="12">
        <f>SUM($M$24+Q26)</f>
        <v>168214</v>
      </c>
      <c r="S26" s="12">
        <f t="shared" si="0"/>
        <v>155039</v>
      </c>
      <c r="T26" s="12">
        <v>15</v>
      </c>
      <c r="U26" s="12">
        <f t="shared" si="2"/>
        <v>162</v>
      </c>
      <c r="V26" s="12">
        <f ca="1">T26/$T$29</f>
        <v>8.5714285714285715E-2</v>
      </c>
      <c r="W26" s="12">
        <f t="shared" ca="1" si="3"/>
        <v>0.92571428571428571</v>
      </c>
      <c r="Y26" s="44" t="s">
        <v>96</v>
      </c>
      <c r="Z26" s="44">
        <v>0.76172352504166918</v>
      </c>
    </row>
    <row r="27" spans="1:29" ht="15.75" customHeight="1">
      <c r="A27" s="22">
        <v>31</v>
      </c>
      <c r="B27" s="22">
        <v>10205</v>
      </c>
      <c r="C27" s="22" t="s">
        <v>12</v>
      </c>
      <c r="D27" s="22" t="s">
        <v>19</v>
      </c>
      <c r="E27" s="22" t="s">
        <v>36</v>
      </c>
      <c r="F27" s="22">
        <v>1</v>
      </c>
      <c r="G27" s="22">
        <v>0</v>
      </c>
      <c r="H27" s="22">
        <v>0</v>
      </c>
      <c r="I27" s="22">
        <v>0</v>
      </c>
      <c r="J27" s="6"/>
      <c r="P27" s="14">
        <v>7</v>
      </c>
      <c r="Q27" s="12">
        <f t="shared" si="1"/>
        <v>168215</v>
      </c>
      <c r="R27" s="12">
        <f>SUM($M$24+Q27)</f>
        <v>194565</v>
      </c>
      <c r="S27" s="12">
        <f t="shared" si="0"/>
        <v>181390</v>
      </c>
      <c r="T27" s="12">
        <v>0</v>
      </c>
      <c r="U27" s="12">
        <f t="shared" si="2"/>
        <v>162</v>
      </c>
      <c r="V27" s="12">
        <f ca="1">T27/$T$29</f>
        <v>0</v>
      </c>
      <c r="W27" s="12">
        <f t="shared" ca="1" si="3"/>
        <v>0.92571428571428571</v>
      </c>
      <c r="Y27" s="44" t="s">
        <v>97</v>
      </c>
      <c r="Z27" s="44">
        <v>1.4770902851882375</v>
      </c>
    </row>
    <row r="28" spans="1:29" ht="15.75" customHeight="1">
      <c r="A28" s="22">
        <v>31</v>
      </c>
      <c r="B28" s="22">
        <v>10205</v>
      </c>
      <c r="C28" s="22" t="s">
        <v>12</v>
      </c>
      <c r="D28" s="22" t="s">
        <v>19</v>
      </c>
      <c r="E28" s="22" t="s">
        <v>36</v>
      </c>
      <c r="F28" s="22">
        <v>1</v>
      </c>
      <c r="G28" s="22">
        <v>0</v>
      </c>
      <c r="H28" s="22">
        <v>0</v>
      </c>
      <c r="I28" s="22">
        <v>1</v>
      </c>
      <c r="J28" s="6"/>
      <c r="P28" s="14">
        <v>8</v>
      </c>
      <c r="Q28" s="12">
        <f t="shared" si="1"/>
        <v>194566</v>
      </c>
      <c r="R28" s="12">
        <f>SUM($M$24+Q28)</f>
        <v>220916</v>
      </c>
      <c r="S28" s="12">
        <f t="shared" si="0"/>
        <v>207741</v>
      </c>
      <c r="T28" s="12">
        <v>13</v>
      </c>
      <c r="U28" s="12">
        <f t="shared" si="2"/>
        <v>175</v>
      </c>
      <c r="V28" s="12">
        <f ca="1">T28/$T$29</f>
        <v>7.4285714285714288E-2</v>
      </c>
      <c r="W28" s="12">
        <f t="shared" ca="1" si="3"/>
        <v>1</v>
      </c>
      <c r="Y28" s="44" t="s">
        <v>10</v>
      </c>
      <c r="Z28" s="44">
        <v>210804</v>
      </c>
    </row>
    <row r="29" spans="1:29" ht="15.75" customHeight="1">
      <c r="A29" s="22">
        <v>32</v>
      </c>
      <c r="B29" s="22">
        <v>10205</v>
      </c>
      <c r="C29" s="22" t="s">
        <v>12</v>
      </c>
      <c r="D29" s="22" t="s">
        <v>19</v>
      </c>
      <c r="E29" s="22" t="s">
        <v>36</v>
      </c>
      <c r="F29" s="22">
        <v>2</v>
      </c>
      <c r="G29" s="22">
        <v>1</v>
      </c>
      <c r="H29" s="22">
        <v>0</v>
      </c>
      <c r="I29" s="22">
        <v>1</v>
      </c>
      <c r="J29" s="6"/>
      <c r="P29" s="4"/>
      <c r="Q29" s="24" t="s">
        <v>35</v>
      </c>
      <c r="R29" s="25"/>
      <c r="S29" s="26"/>
      <c r="T29" s="54">
        <f ca="1">SUM(T21:T29)</f>
        <v>175</v>
      </c>
      <c r="U29" s="34"/>
      <c r="V29" s="54">
        <f ca="1">SUM(V21:V28)</f>
        <v>1</v>
      </c>
      <c r="W29" s="34"/>
      <c r="Y29" s="44" t="s">
        <v>98</v>
      </c>
      <c r="Z29" s="44">
        <v>10109</v>
      </c>
    </row>
    <row r="30" spans="1:29" ht="15.75" customHeight="1">
      <c r="A30" s="22">
        <v>32</v>
      </c>
      <c r="B30" s="22">
        <v>10205</v>
      </c>
      <c r="C30" s="22" t="s">
        <v>12</v>
      </c>
      <c r="D30" s="22" t="s">
        <v>19</v>
      </c>
      <c r="E30" s="22" t="s">
        <v>36</v>
      </c>
      <c r="F30" s="22">
        <v>2</v>
      </c>
      <c r="G30" s="22">
        <v>0</v>
      </c>
      <c r="H30" s="22">
        <v>0</v>
      </c>
      <c r="I30" s="22">
        <v>0</v>
      </c>
      <c r="J30" s="6"/>
      <c r="Y30" s="44" t="s">
        <v>99</v>
      </c>
      <c r="Z30" s="44">
        <v>220913</v>
      </c>
    </row>
    <row r="31" spans="1:29" ht="15.75" customHeight="1">
      <c r="A31" s="22">
        <v>32</v>
      </c>
      <c r="B31" s="22">
        <v>10205</v>
      </c>
      <c r="C31" s="22" t="s">
        <v>12</v>
      </c>
      <c r="D31" s="22" t="s">
        <v>19</v>
      </c>
      <c r="E31" s="22" t="s">
        <v>36</v>
      </c>
      <c r="F31" s="22">
        <v>2</v>
      </c>
      <c r="G31" s="22">
        <v>0</v>
      </c>
      <c r="H31" s="22">
        <v>0</v>
      </c>
      <c r="I31" s="22">
        <v>0</v>
      </c>
      <c r="J31" s="6"/>
      <c r="Y31" s="44" t="s">
        <v>100</v>
      </c>
      <c r="Z31" s="44">
        <v>9057960</v>
      </c>
    </row>
    <row r="32" spans="1:29" ht="15.75" customHeight="1">
      <c r="A32" s="22">
        <v>32</v>
      </c>
      <c r="B32" s="22">
        <v>10205</v>
      </c>
      <c r="C32" s="22" t="s">
        <v>12</v>
      </c>
      <c r="D32" s="22" t="s">
        <v>19</v>
      </c>
      <c r="E32" s="22" t="s">
        <v>36</v>
      </c>
      <c r="F32" s="22">
        <v>1</v>
      </c>
      <c r="G32" s="22">
        <v>0</v>
      </c>
      <c r="H32" s="22">
        <v>0</v>
      </c>
      <c r="I32" s="22">
        <v>1</v>
      </c>
      <c r="J32" s="6"/>
      <c r="K32" s="1"/>
      <c r="L32" s="2"/>
      <c r="Y32" s="44" t="s">
        <v>101</v>
      </c>
      <c r="Z32" s="44">
        <v>175</v>
      </c>
    </row>
    <row r="33" spans="1:31" ht="15.75" customHeight="1">
      <c r="A33" s="22">
        <v>32</v>
      </c>
      <c r="B33" s="22">
        <v>10205</v>
      </c>
      <c r="C33" s="22" t="s">
        <v>12</v>
      </c>
      <c r="D33" s="22" t="s">
        <v>19</v>
      </c>
      <c r="E33" s="22" t="s">
        <v>36</v>
      </c>
      <c r="F33" s="22">
        <v>1</v>
      </c>
      <c r="G33" s="22">
        <v>0</v>
      </c>
      <c r="H33" s="22">
        <v>0</v>
      </c>
      <c r="I33" s="22">
        <v>0</v>
      </c>
      <c r="J33" s="6"/>
    </row>
    <row r="34" spans="1:31" ht="15.75" customHeight="1">
      <c r="A34" s="22">
        <v>33</v>
      </c>
      <c r="B34" s="22">
        <v>10707</v>
      </c>
      <c r="C34" s="22" t="s">
        <v>12</v>
      </c>
      <c r="D34" s="22" t="s">
        <v>38</v>
      </c>
      <c r="E34" s="22" t="s">
        <v>39</v>
      </c>
      <c r="F34" s="22">
        <v>1</v>
      </c>
      <c r="G34" s="22">
        <v>0</v>
      </c>
      <c r="H34" s="22">
        <v>0</v>
      </c>
      <c r="I34" s="22">
        <v>0</v>
      </c>
      <c r="J34" s="6"/>
    </row>
    <row r="35" spans="1:31" ht="15.75" customHeight="1">
      <c r="A35" s="22">
        <v>33</v>
      </c>
      <c r="B35" s="22">
        <v>10707</v>
      </c>
      <c r="C35" s="22" t="s">
        <v>12</v>
      </c>
      <c r="D35" s="22" t="s">
        <v>38</v>
      </c>
      <c r="E35" s="22" t="s">
        <v>39</v>
      </c>
      <c r="F35" s="22">
        <v>2</v>
      </c>
      <c r="G35" s="22">
        <v>1</v>
      </c>
      <c r="H35" s="22">
        <v>0</v>
      </c>
      <c r="I35" s="22">
        <v>1</v>
      </c>
      <c r="J35" s="6"/>
      <c r="L35" s="27" t="s">
        <v>40</v>
      </c>
      <c r="M35" s="28"/>
      <c r="N35" s="29"/>
      <c r="O35" s="20" t="s">
        <v>114</v>
      </c>
      <c r="P35" s="20"/>
      <c r="R35" s="20" t="s">
        <v>40</v>
      </c>
      <c r="S35" s="20"/>
      <c r="T35" s="20"/>
      <c r="U35" s="20"/>
      <c r="V35" s="20"/>
      <c r="W35" s="20"/>
      <c r="X35" s="20"/>
      <c r="Y35" s="20"/>
      <c r="AA35" s="60" t="s">
        <v>106</v>
      </c>
      <c r="AB35" s="60"/>
      <c r="AC35" s="61"/>
      <c r="AD35" s="48" t="s">
        <v>102</v>
      </c>
      <c r="AE35" s="43"/>
    </row>
    <row r="36" spans="1:31" ht="15.75" customHeight="1">
      <c r="A36" s="22">
        <v>33</v>
      </c>
      <c r="B36" s="22">
        <v>10707</v>
      </c>
      <c r="C36" s="22" t="s">
        <v>12</v>
      </c>
      <c r="D36" s="22" t="s">
        <v>38</v>
      </c>
      <c r="E36" s="22" t="s">
        <v>39</v>
      </c>
      <c r="F36" s="22">
        <v>1</v>
      </c>
      <c r="G36" s="22">
        <v>0</v>
      </c>
      <c r="H36" s="22">
        <v>0</v>
      </c>
      <c r="I36" s="22">
        <v>1</v>
      </c>
      <c r="J36" s="6"/>
      <c r="L36" s="10"/>
      <c r="M36" s="11"/>
      <c r="N36" s="4"/>
      <c r="O36" s="9" t="s">
        <v>12</v>
      </c>
      <c r="P36" s="12">
        <f>COUNTIF(C4:C178,"AMAZONAS")</f>
        <v>95</v>
      </c>
      <c r="R36" s="32" t="s">
        <v>82</v>
      </c>
      <c r="S36" s="33" t="s">
        <v>26</v>
      </c>
      <c r="T36" s="33" t="s">
        <v>27</v>
      </c>
      <c r="U36" s="33" t="s">
        <v>28</v>
      </c>
      <c r="V36" s="33" t="s">
        <v>29</v>
      </c>
      <c r="W36" s="33" t="s">
        <v>30</v>
      </c>
      <c r="X36" s="33" t="s">
        <v>31</v>
      </c>
      <c r="Y36" s="33" t="s">
        <v>32</v>
      </c>
      <c r="AA36" s="44"/>
      <c r="AB36" s="44"/>
      <c r="AC36" s="16"/>
      <c r="AD36" s="19" t="s">
        <v>103</v>
      </c>
      <c r="AE36" s="49">
        <f>_xlfn.QUARTILE.EXC(C181:C355,1)</f>
        <v>12</v>
      </c>
    </row>
    <row r="37" spans="1:31" ht="15.75" customHeight="1">
      <c r="A37" s="22">
        <v>33</v>
      </c>
      <c r="B37" s="22">
        <v>10707</v>
      </c>
      <c r="C37" s="22" t="s">
        <v>12</v>
      </c>
      <c r="D37" s="22" t="s">
        <v>38</v>
      </c>
      <c r="E37" s="22" t="s">
        <v>39</v>
      </c>
      <c r="F37" s="22">
        <v>2</v>
      </c>
      <c r="G37" s="22">
        <v>0</v>
      </c>
      <c r="H37" s="22">
        <v>0</v>
      </c>
      <c r="I37" s="22">
        <v>0</v>
      </c>
      <c r="J37" s="6"/>
      <c r="L37" s="9" t="s">
        <v>15</v>
      </c>
      <c r="M37" s="9">
        <v>175</v>
      </c>
      <c r="N37" s="4"/>
      <c r="O37" s="9" t="s">
        <v>41</v>
      </c>
      <c r="P37" s="56">
        <f>COUNTIF(C4:C178,"APURIMAC")</f>
        <v>12</v>
      </c>
      <c r="R37" s="14">
        <v>0</v>
      </c>
      <c r="S37" s="4"/>
      <c r="T37" s="4"/>
      <c r="U37" s="4"/>
      <c r="V37" s="4"/>
      <c r="W37" s="4"/>
      <c r="X37" s="4"/>
      <c r="Y37" s="4"/>
      <c r="AA37" s="44" t="s">
        <v>90</v>
      </c>
      <c r="AB37" s="44">
        <v>56.554285714285712</v>
      </c>
      <c r="AC37" s="16"/>
      <c r="AD37" s="19" t="s">
        <v>104</v>
      </c>
      <c r="AE37" s="49">
        <f>_xlfn.QUARTILE.EXC(C181:C355,2)</f>
        <v>95</v>
      </c>
    </row>
    <row r="38" spans="1:31" ht="15.75" customHeight="1">
      <c r="A38" s="22">
        <v>36</v>
      </c>
      <c r="B38" s="22">
        <v>10205</v>
      </c>
      <c r="C38" s="22" t="s">
        <v>12</v>
      </c>
      <c r="D38" s="22" t="s">
        <v>19</v>
      </c>
      <c r="E38" s="22" t="s">
        <v>36</v>
      </c>
      <c r="F38" s="22">
        <v>1</v>
      </c>
      <c r="G38" s="22">
        <v>0</v>
      </c>
      <c r="H38" s="22">
        <v>0</v>
      </c>
      <c r="I38" s="22">
        <v>0</v>
      </c>
      <c r="J38" s="6"/>
      <c r="L38" s="9" t="s">
        <v>16</v>
      </c>
      <c r="M38" s="5">
        <f>+MAX(P36:P45)</f>
        <v>95</v>
      </c>
      <c r="N38" s="4"/>
      <c r="O38" s="9" t="s">
        <v>42</v>
      </c>
      <c r="P38" s="56">
        <f>COUNTIF(C5:C178,"CUSCO")</f>
        <v>6</v>
      </c>
      <c r="R38" s="14">
        <v>1</v>
      </c>
      <c r="S38" s="14">
        <v>5</v>
      </c>
      <c r="T38" s="14">
        <f>S38+$M$42</f>
        <v>16</v>
      </c>
      <c r="U38" s="14">
        <f>(S38+T38)/2</f>
        <v>10.5</v>
      </c>
      <c r="V38" s="14">
        <f t="array" ref="V38:V45">+FREQUENCY(C181:C355,T37:T45)</f>
        <v>62</v>
      </c>
      <c r="W38" s="14">
        <f>V38</f>
        <v>62</v>
      </c>
      <c r="X38" s="14">
        <f>V38/$V$46</f>
        <v>0.35428571428571426</v>
      </c>
      <c r="Y38" s="14">
        <f>+X38</f>
        <v>0.35428571428571426</v>
      </c>
      <c r="AA38" s="44" t="s">
        <v>91</v>
      </c>
      <c r="AB38" s="44">
        <v>3.1853071672825148</v>
      </c>
      <c r="AD38" s="19" t="s">
        <v>105</v>
      </c>
      <c r="AE38" s="49">
        <f>_xlfn.QUARTILE.EXC(C181:C355,3)</f>
        <v>95</v>
      </c>
    </row>
    <row r="39" spans="1:31" ht="15.75" customHeight="1">
      <c r="A39" s="22">
        <v>36</v>
      </c>
      <c r="B39" s="22">
        <v>10205</v>
      </c>
      <c r="C39" s="22" t="s">
        <v>12</v>
      </c>
      <c r="D39" s="22" t="s">
        <v>19</v>
      </c>
      <c r="E39" s="22" t="s">
        <v>36</v>
      </c>
      <c r="F39" s="22">
        <v>2</v>
      </c>
      <c r="G39" s="22">
        <v>1</v>
      </c>
      <c r="H39" s="22">
        <v>0</v>
      </c>
      <c r="I39" s="22">
        <v>1</v>
      </c>
      <c r="J39" s="6"/>
      <c r="L39" s="9" t="s">
        <v>17</v>
      </c>
      <c r="M39" s="4">
        <f>+MIN(P36:P45)</f>
        <v>5</v>
      </c>
      <c r="N39" s="4"/>
      <c r="O39" s="9" t="s">
        <v>43</v>
      </c>
      <c r="P39" s="56">
        <f>COUNTIF(C6:C179,"ICA")</f>
        <v>6</v>
      </c>
      <c r="R39" s="14">
        <v>2</v>
      </c>
      <c r="S39" s="14">
        <f>+T38+1</f>
        <v>17</v>
      </c>
      <c r="T39" s="14">
        <f>S39+$M$42</f>
        <v>28</v>
      </c>
      <c r="U39" s="14">
        <f t="shared" ref="U39:U45" si="4">(S39+T39)/2</f>
        <v>22.5</v>
      </c>
      <c r="V39" s="14">
        <v>18</v>
      </c>
      <c r="W39" s="14">
        <f>W38+V39</f>
        <v>80</v>
      </c>
      <c r="X39" s="14">
        <f t="shared" ref="X39:X45" si="5">V39/$V$46</f>
        <v>0.10285714285714286</v>
      </c>
      <c r="Y39" s="14">
        <f>+Y38+X39</f>
        <v>0.45714285714285713</v>
      </c>
      <c r="AA39" s="44" t="s">
        <v>92</v>
      </c>
      <c r="AB39" s="44">
        <v>95</v>
      </c>
      <c r="AD39" s="51" t="s">
        <v>107</v>
      </c>
      <c r="AE39" s="4">
        <f>_xlfn.PERCENTILE.EXC(C181:C355,0.3)</f>
        <v>13</v>
      </c>
    </row>
    <row r="40" spans="1:31" ht="15.75" customHeight="1">
      <c r="A40" s="22">
        <v>51</v>
      </c>
      <c r="B40" s="22">
        <v>10205</v>
      </c>
      <c r="C40" s="22" t="s">
        <v>12</v>
      </c>
      <c r="D40" s="22" t="s">
        <v>19</v>
      </c>
      <c r="E40" s="22" t="s">
        <v>36</v>
      </c>
      <c r="F40" s="22">
        <v>2</v>
      </c>
      <c r="G40" s="22">
        <v>1</v>
      </c>
      <c r="H40" s="22">
        <v>0</v>
      </c>
      <c r="I40" s="22">
        <v>1</v>
      </c>
      <c r="J40" s="6"/>
      <c r="L40" s="9" t="s">
        <v>18</v>
      </c>
      <c r="M40" s="4">
        <f>+M38-M39</f>
        <v>90</v>
      </c>
      <c r="N40" s="4"/>
      <c r="O40" s="15" t="s">
        <v>44</v>
      </c>
      <c r="P40" s="56">
        <f>COUNTIF(C7:C180,"ANCASH")</f>
        <v>18</v>
      </c>
      <c r="R40" s="14">
        <v>3</v>
      </c>
      <c r="S40" s="14">
        <f t="shared" ref="S40:S45" si="6">+T39+1</f>
        <v>29</v>
      </c>
      <c r="T40" s="14">
        <f>S40+$M$42</f>
        <v>40</v>
      </c>
      <c r="U40" s="14">
        <f t="shared" si="4"/>
        <v>34.5</v>
      </c>
      <c r="V40" s="14">
        <v>0</v>
      </c>
      <c r="W40" s="14">
        <f t="shared" ref="W40:W45" si="7">W39+V40</f>
        <v>80</v>
      </c>
      <c r="X40" s="14">
        <f t="shared" si="5"/>
        <v>0</v>
      </c>
      <c r="Y40" s="14">
        <f t="shared" ref="Y40:Y45" si="8">+Y39+X40</f>
        <v>0.45714285714285713</v>
      </c>
      <c r="AA40" s="44" t="s">
        <v>93</v>
      </c>
      <c r="AB40" s="44">
        <v>95</v>
      </c>
      <c r="AD40" s="51" t="s">
        <v>108</v>
      </c>
      <c r="AE40" s="4">
        <f>_xlfn.PERCENTILE.EXC(C181:C355,0.5)</f>
        <v>95</v>
      </c>
    </row>
    <row r="41" spans="1:31" ht="15.75" customHeight="1">
      <c r="A41" s="22">
        <v>51</v>
      </c>
      <c r="B41" s="22">
        <v>10205</v>
      </c>
      <c r="C41" s="22" t="s">
        <v>12</v>
      </c>
      <c r="D41" s="22" t="s">
        <v>19</v>
      </c>
      <c r="E41" s="22" t="s">
        <v>36</v>
      </c>
      <c r="F41" s="22">
        <v>1</v>
      </c>
      <c r="G41" s="22">
        <v>0</v>
      </c>
      <c r="H41" s="22">
        <v>0</v>
      </c>
      <c r="I41" s="22">
        <v>0</v>
      </c>
      <c r="J41" s="6"/>
      <c r="L41" s="9" t="s">
        <v>21</v>
      </c>
      <c r="M41" s="4">
        <v>8</v>
      </c>
      <c r="N41" s="19">
        <f>1+3.322*LOG10(M37)</f>
        <v>8.4513723977358701</v>
      </c>
      <c r="O41" s="9" t="s">
        <v>45</v>
      </c>
      <c r="P41" s="56">
        <f>COUNTIF(C8:C180,"lima")</f>
        <v>7</v>
      </c>
      <c r="R41" s="14">
        <v>4</v>
      </c>
      <c r="S41" s="14">
        <f t="shared" si="6"/>
        <v>41</v>
      </c>
      <c r="T41" s="14">
        <f>S41+$M$42</f>
        <v>52</v>
      </c>
      <c r="U41" s="14">
        <f t="shared" si="4"/>
        <v>46.5</v>
      </c>
      <c r="V41" s="14">
        <v>0</v>
      </c>
      <c r="W41" s="14">
        <f t="shared" si="7"/>
        <v>80</v>
      </c>
      <c r="X41" s="14">
        <f t="shared" si="5"/>
        <v>0</v>
      </c>
      <c r="Y41" s="14">
        <f t="shared" si="8"/>
        <v>0.45714285714285713</v>
      </c>
      <c r="AA41" s="44" t="s">
        <v>94</v>
      </c>
      <c r="AB41" s="44">
        <v>42.137653069905753</v>
      </c>
      <c r="AD41" s="51" t="s">
        <v>109</v>
      </c>
      <c r="AE41" s="4">
        <f>_xlfn.PERCENTILE.EXC(C181:C355,0.8)</f>
        <v>95</v>
      </c>
    </row>
    <row r="42" spans="1:31" ht="15.75" customHeight="1">
      <c r="A42" s="22">
        <v>51</v>
      </c>
      <c r="B42" s="22">
        <v>10205</v>
      </c>
      <c r="C42" s="22" t="s">
        <v>12</v>
      </c>
      <c r="D42" s="22" t="s">
        <v>19</v>
      </c>
      <c r="E42" s="22" t="s">
        <v>36</v>
      </c>
      <c r="F42" s="22">
        <v>2</v>
      </c>
      <c r="G42" s="22">
        <v>0</v>
      </c>
      <c r="H42" s="22">
        <v>0</v>
      </c>
      <c r="I42" s="22">
        <v>0</v>
      </c>
      <c r="J42" s="6"/>
      <c r="L42" s="9" t="s">
        <v>22</v>
      </c>
      <c r="M42" s="4">
        <v>11</v>
      </c>
      <c r="N42" s="4">
        <f>M40/M41</f>
        <v>11.25</v>
      </c>
      <c r="O42" s="9" t="s">
        <v>46</v>
      </c>
      <c r="P42" s="56">
        <f>COUNTIF(C9:C180,"LORETO")</f>
        <v>8</v>
      </c>
      <c r="R42" s="14">
        <v>5</v>
      </c>
      <c r="S42" s="14">
        <f t="shared" si="6"/>
        <v>53</v>
      </c>
      <c r="T42" s="14">
        <f t="shared" ref="T42:T45" si="9">S42+$M$42</f>
        <v>64</v>
      </c>
      <c r="U42" s="14">
        <f t="shared" si="4"/>
        <v>58.5</v>
      </c>
      <c r="V42" s="14">
        <v>0</v>
      </c>
      <c r="W42" s="14">
        <f t="shared" si="7"/>
        <v>80</v>
      </c>
      <c r="X42" s="14">
        <f t="shared" si="5"/>
        <v>0</v>
      </c>
      <c r="Y42" s="14">
        <f t="shared" si="8"/>
        <v>0.45714285714285713</v>
      </c>
      <c r="AA42" s="44" t="s">
        <v>95</v>
      </c>
      <c r="AB42" s="44">
        <v>1775.5818062397375</v>
      </c>
    </row>
    <row r="43" spans="1:31" ht="15.75" customHeight="1">
      <c r="A43" s="22">
        <v>51</v>
      </c>
      <c r="B43" s="22">
        <v>10205</v>
      </c>
      <c r="C43" s="22" t="s">
        <v>12</v>
      </c>
      <c r="D43" s="22" t="s">
        <v>19</v>
      </c>
      <c r="E43" s="22" t="s">
        <v>36</v>
      </c>
      <c r="F43" s="22">
        <v>1</v>
      </c>
      <c r="G43" s="22">
        <v>0</v>
      </c>
      <c r="H43" s="22">
        <v>0</v>
      </c>
      <c r="I43" s="22">
        <v>0</v>
      </c>
      <c r="J43" s="6"/>
      <c r="L43" s="4"/>
      <c r="M43" s="4"/>
      <c r="N43" s="4"/>
      <c r="O43" s="9" t="s">
        <v>47</v>
      </c>
      <c r="P43" s="56">
        <f>COUNTIF(C10:C180,"SAN MARTIN")</f>
        <v>13</v>
      </c>
      <c r="R43" s="14">
        <v>6</v>
      </c>
      <c r="S43" s="14">
        <f t="shared" si="6"/>
        <v>65</v>
      </c>
      <c r="T43" s="14">
        <f t="shared" si="9"/>
        <v>76</v>
      </c>
      <c r="U43" s="14">
        <f t="shared" si="4"/>
        <v>70.5</v>
      </c>
      <c r="V43" s="14">
        <v>0</v>
      </c>
      <c r="W43" s="14">
        <f t="shared" si="7"/>
        <v>80</v>
      </c>
      <c r="X43" s="14">
        <f t="shared" si="5"/>
        <v>0</v>
      </c>
      <c r="Y43" s="14">
        <f t="shared" si="8"/>
        <v>0.45714285714285713</v>
      </c>
      <c r="AA43" s="44" t="s">
        <v>96</v>
      </c>
      <c r="AB43" s="44">
        <v>-1.9635400981607938</v>
      </c>
    </row>
    <row r="44" spans="1:31" ht="15.75" customHeight="1">
      <c r="A44" s="22">
        <v>55</v>
      </c>
      <c r="B44" s="22">
        <v>10205</v>
      </c>
      <c r="C44" s="22" t="s">
        <v>12</v>
      </c>
      <c r="D44" s="22" t="s">
        <v>19</v>
      </c>
      <c r="E44" s="22" t="s">
        <v>36</v>
      </c>
      <c r="F44" s="22">
        <v>1</v>
      </c>
      <c r="G44" s="22">
        <v>0</v>
      </c>
      <c r="H44" s="22">
        <v>0</v>
      </c>
      <c r="I44" s="22">
        <v>1</v>
      </c>
      <c r="J44" s="6"/>
      <c r="L44" s="4"/>
      <c r="M44" s="4"/>
      <c r="N44" s="4"/>
      <c r="O44" s="9" t="s">
        <v>48</v>
      </c>
      <c r="P44" s="56">
        <f>COUNTIF(C11:C180,"CAJAMARCA")</f>
        <v>5</v>
      </c>
      <c r="R44" s="14">
        <v>7</v>
      </c>
      <c r="S44" s="14">
        <f t="shared" si="6"/>
        <v>77</v>
      </c>
      <c r="T44" s="14">
        <f t="shared" si="9"/>
        <v>88</v>
      </c>
      <c r="U44" s="14">
        <f t="shared" si="4"/>
        <v>82.5</v>
      </c>
      <c r="V44" s="14">
        <v>0</v>
      </c>
      <c r="W44" s="14">
        <f t="shared" si="7"/>
        <v>80</v>
      </c>
      <c r="X44" s="14">
        <f t="shared" si="5"/>
        <v>0</v>
      </c>
      <c r="Y44" s="14">
        <f t="shared" si="8"/>
        <v>0.45714285714285713</v>
      </c>
      <c r="AA44" s="44" t="s">
        <v>97</v>
      </c>
      <c r="AB44" s="44">
        <v>-0.19089419986991468</v>
      </c>
    </row>
    <row r="45" spans="1:31" ht="15.75" customHeight="1">
      <c r="A45" s="22">
        <v>55</v>
      </c>
      <c r="B45" s="22">
        <v>10205</v>
      </c>
      <c r="C45" s="22" t="s">
        <v>12</v>
      </c>
      <c r="D45" s="22" t="s">
        <v>19</v>
      </c>
      <c r="E45" s="22" t="s">
        <v>36</v>
      </c>
      <c r="F45" s="22">
        <v>1</v>
      </c>
      <c r="G45" s="22">
        <v>0</v>
      </c>
      <c r="H45" s="22">
        <v>0</v>
      </c>
      <c r="I45" s="22">
        <v>0</v>
      </c>
      <c r="J45" s="6"/>
      <c r="L45" s="4"/>
      <c r="M45" s="4"/>
      <c r="N45" s="4"/>
      <c r="O45" s="9" t="s">
        <v>23</v>
      </c>
      <c r="P45" s="56">
        <f>COUNTIF(C4:C178,"LAMBAYEQUE")</f>
        <v>5</v>
      </c>
      <c r="R45" s="14">
        <v>8</v>
      </c>
      <c r="S45" s="14">
        <f t="shared" si="6"/>
        <v>89</v>
      </c>
      <c r="T45" s="14">
        <f t="shared" si="9"/>
        <v>100</v>
      </c>
      <c r="U45" s="14">
        <f t="shared" si="4"/>
        <v>94.5</v>
      </c>
      <c r="V45" s="14">
        <v>95</v>
      </c>
      <c r="W45" s="14">
        <f t="shared" si="7"/>
        <v>175</v>
      </c>
      <c r="X45" s="14">
        <f t="shared" si="5"/>
        <v>0.54285714285714282</v>
      </c>
      <c r="Y45" s="14">
        <f t="shared" si="8"/>
        <v>1</v>
      </c>
      <c r="AA45" s="44" t="s">
        <v>10</v>
      </c>
      <c r="AB45" s="44">
        <v>90</v>
      </c>
    </row>
    <row r="46" spans="1:31" ht="15.75" customHeight="1">
      <c r="A46" s="22">
        <v>55</v>
      </c>
      <c r="B46" s="22">
        <v>10205</v>
      </c>
      <c r="C46" s="22" t="s">
        <v>12</v>
      </c>
      <c r="D46" s="22" t="s">
        <v>19</v>
      </c>
      <c r="E46" s="22" t="s">
        <v>36</v>
      </c>
      <c r="F46" s="22">
        <v>2</v>
      </c>
      <c r="G46" s="22">
        <v>1</v>
      </c>
      <c r="H46" s="22">
        <v>0</v>
      </c>
      <c r="I46" s="22">
        <v>1</v>
      </c>
      <c r="J46" s="6"/>
      <c r="L46" s="33"/>
      <c r="M46" s="33"/>
      <c r="N46" s="33"/>
      <c r="O46" s="33" t="s">
        <v>35</v>
      </c>
      <c r="P46" s="57">
        <f>SUM(P36:P45)</f>
        <v>175</v>
      </c>
      <c r="R46" s="4"/>
      <c r="S46" s="20" t="s">
        <v>35</v>
      </c>
      <c r="T46" s="20"/>
      <c r="U46" s="20"/>
      <c r="V46" s="18">
        <f>SUM(V38:V45)</f>
        <v>175</v>
      </c>
      <c r="W46" s="34"/>
      <c r="X46" s="18">
        <f>SUM(X38:X45)</f>
        <v>1</v>
      </c>
      <c r="Y46" s="34"/>
      <c r="AA46" s="44" t="s">
        <v>98</v>
      </c>
      <c r="AB46" s="44">
        <v>5</v>
      </c>
    </row>
    <row r="47" spans="1:31" ht="15.75" customHeight="1">
      <c r="A47" s="22">
        <v>55</v>
      </c>
      <c r="B47" s="22">
        <v>10205</v>
      </c>
      <c r="C47" s="22" t="s">
        <v>12</v>
      </c>
      <c r="D47" s="22" t="s">
        <v>19</v>
      </c>
      <c r="E47" s="22" t="s">
        <v>36</v>
      </c>
      <c r="F47" s="22">
        <v>2</v>
      </c>
      <c r="G47" s="22">
        <v>0</v>
      </c>
      <c r="H47" s="22">
        <v>0</v>
      </c>
      <c r="I47" s="22">
        <v>0</v>
      </c>
      <c r="J47" s="6"/>
      <c r="AA47" s="44" t="s">
        <v>99</v>
      </c>
      <c r="AB47" s="44">
        <v>95</v>
      </c>
    </row>
    <row r="48" spans="1:31" ht="15.75" customHeight="1">
      <c r="A48" s="22">
        <v>55</v>
      </c>
      <c r="B48" s="22">
        <v>10205</v>
      </c>
      <c r="C48" s="22" t="s">
        <v>12</v>
      </c>
      <c r="D48" s="22" t="s">
        <v>19</v>
      </c>
      <c r="E48" s="22" t="s">
        <v>36</v>
      </c>
      <c r="F48" s="22">
        <v>1</v>
      </c>
      <c r="G48" s="22">
        <v>0</v>
      </c>
      <c r="H48" s="22">
        <v>0</v>
      </c>
      <c r="I48" s="22">
        <v>0</v>
      </c>
      <c r="J48" s="6"/>
      <c r="M48" s="16"/>
      <c r="N48" s="16"/>
      <c r="O48" s="16"/>
      <c r="P48" s="16"/>
      <c r="AA48" s="44" t="s">
        <v>100</v>
      </c>
      <c r="AB48" s="44">
        <v>9897</v>
      </c>
    </row>
    <row r="49" spans="1:31" ht="15.75" customHeight="1">
      <c r="A49" s="22">
        <v>55</v>
      </c>
      <c r="B49" s="22">
        <v>10205</v>
      </c>
      <c r="C49" s="22" t="s">
        <v>12</v>
      </c>
      <c r="D49" s="22" t="s">
        <v>19</v>
      </c>
      <c r="E49" s="22" t="s">
        <v>36</v>
      </c>
      <c r="F49" s="22">
        <v>1</v>
      </c>
      <c r="G49" s="22">
        <v>0</v>
      </c>
      <c r="H49" s="22">
        <v>0</v>
      </c>
      <c r="I49" s="22">
        <v>0</v>
      </c>
      <c r="J49" s="6"/>
      <c r="AA49" s="44" t="s">
        <v>101</v>
      </c>
      <c r="AB49" s="44">
        <v>175</v>
      </c>
    </row>
    <row r="50" spans="1:31" ht="15.75" customHeight="1">
      <c r="A50" s="22">
        <v>55</v>
      </c>
      <c r="B50" s="22">
        <v>10205</v>
      </c>
      <c r="C50" s="22" t="s">
        <v>12</v>
      </c>
      <c r="D50" s="22" t="s">
        <v>19</v>
      </c>
      <c r="E50" s="22" t="s">
        <v>36</v>
      </c>
      <c r="F50" s="22">
        <v>2</v>
      </c>
      <c r="G50" s="22">
        <v>0</v>
      </c>
      <c r="H50" s="22">
        <v>0</v>
      </c>
      <c r="I50" s="22">
        <v>0</v>
      </c>
      <c r="J50" s="6"/>
      <c r="AA50" s="4"/>
      <c r="AB50" s="4"/>
    </row>
    <row r="51" spans="1:31" ht="15.75" customHeight="1">
      <c r="A51" s="22">
        <v>57</v>
      </c>
      <c r="B51" s="22">
        <v>10205</v>
      </c>
      <c r="C51" s="22" t="s">
        <v>12</v>
      </c>
      <c r="D51" s="22" t="s">
        <v>19</v>
      </c>
      <c r="E51" s="22" t="s">
        <v>36</v>
      </c>
      <c r="F51" s="22">
        <v>2</v>
      </c>
      <c r="G51" s="22">
        <v>1</v>
      </c>
      <c r="H51" s="22">
        <v>0</v>
      </c>
      <c r="I51" s="22">
        <v>1</v>
      </c>
      <c r="J51" s="6"/>
    </row>
    <row r="52" spans="1:31" ht="15.75" customHeight="1">
      <c r="A52" s="22">
        <v>57</v>
      </c>
      <c r="B52" s="22">
        <v>10205</v>
      </c>
      <c r="C52" s="22" t="s">
        <v>12</v>
      </c>
      <c r="D52" s="22" t="s">
        <v>19</v>
      </c>
      <c r="E52" s="22" t="s">
        <v>36</v>
      </c>
      <c r="F52" s="22">
        <v>2</v>
      </c>
      <c r="G52" s="22">
        <v>0</v>
      </c>
      <c r="H52" s="22">
        <v>0</v>
      </c>
      <c r="I52" s="22">
        <v>0</v>
      </c>
      <c r="J52" s="6"/>
    </row>
    <row r="53" spans="1:31" ht="15.75" customHeight="1">
      <c r="A53" s="22">
        <v>60</v>
      </c>
      <c r="B53" s="22">
        <v>10205</v>
      </c>
      <c r="C53" s="22" t="s">
        <v>12</v>
      </c>
      <c r="D53" s="22" t="s">
        <v>19</v>
      </c>
      <c r="E53" s="22" t="s">
        <v>36</v>
      </c>
      <c r="F53" s="22">
        <v>2</v>
      </c>
      <c r="G53" s="22">
        <v>1</v>
      </c>
      <c r="H53" s="22">
        <v>0</v>
      </c>
      <c r="I53" s="22">
        <v>1</v>
      </c>
      <c r="J53" s="6"/>
    </row>
    <row r="54" spans="1:31" ht="15.75" customHeight="1">
      <c r="A54" s="22">
        <v>60</v>
      </c>
      <c r="B54" s="22">
        <v>10205</v>
      </c>
      <c r="C54" s="22" t="s">
        <v>12</v>
      </c>
      <c r="D54" s="22" t="s">
        <v>19</v>
      </c>
      <c r="E54" s="22" t="s">
        <v>36</v>
      </c>
      <c r="F54" s="22">
        <v>2</v>
      </c>
      <c r="G54" s="22">
        <v>0</v>
      </c>
      <c r="H54" s="22">
        <v>0</v>
      </c>
      <c r="I54" s="22">
        <v>0</v>
      </c>
      <c r="J54" s="6"/>
    </row>
    <row r="55" spans="1:31" ht="15.75" customHeight="1" thickBot="1">
      <c r="A55" s="22">
        <v>60</v>
      </c>
      <c r="B55" s="22">
        <v>10205</v>
      </c>
      <c r="C55" s="22" t="s">
        <v>12</v>
      </c>
      <c r="D55" s="22" t="s">
        <v>19</v>
      </c>
      <c r="E55" s="22" t="s">
        <v>36</v>
      </c>
      <c r="F55" s="22">
        <v>2</v>
      </c>
      <c r="G55" s="22">
        <v>0</v>
      </c>
      <c r="H55" s="22">
        <v>0</v>
      </c>
      <c r="I55" s="22">
        <v>0</v>
      </c>
      <c r="J55" s="6"/>
    </row>
    <row r="56" spans="1:31" ht="15.75" customHeight="1">
      <c r="A56" s="22">
        <v>62</v>
      </c>
      <c r="B56" s="22">
        <v>10205</v>
      </c>
      <c r="C56" s="22" t="s">
        <v>12</v>
      </c>
      <c r="D56" s="22" t="s">
        <v>19</v>
      </c>
      <c r="E56" s="22" t="s">
        <v>36</v>
      </c>
      <c r="F56" s="22">
        <v>1</v>
      </c>
      <c r="G56" s="22">
        <v>0</v>
      </c>
      <c r="H56" s="22">
        <v>0</v>
      </c>
      <c r="I56" s="22">
        <v>0</v>
      </c>
      <c r="J56" s="6"/>
      <c r="L56" s="20" t="s">
        <v>80</v>
      </c>
      <c r="M56" s="20"/>
      <c r="N56" s="20"/>
      <c r="O56" s="20" t="s">
        <v>120</v>
      </c>
      <c r="P56" s="20"/>
      <c r="Q56" s="16"/>
      <c r="R56" s="20" t="s">
        <v>80</v>
      </c>
      <c r="S56" s="20"/>
      <c r="T56" s="20"/>
      <c r="U56" s="20"/>
      <c r="V56" s="20"/>
      <c r="W56" s="20"/>
      <c r="X56" s="20"/>
      <c r="Y56" s="20"/>
      <c r="AA56" s="64" t="s">
        <v>106</v>
      </c>
      <c r="AB56" s="64"/>
      <c r="AD56" s="48" t="s">
        <v>102</v>
      </c>
      <c r="AE56" s="43"/>
    </row>
    <row r="57" spans="1:31" ht="15.75" customHeight="1">
      <c r="A57" s="22">
        <v>62</v>
      </c>
      <c r="B57" s="22">
        <v>10205</v>
      </c>
      <c r="C57" s="22" t="s">
        <v>12</v>
      </c>
      <c r="D57" s="22" t="s">
        <v>19</v>
      </c>
      <c r="E57" s="22" t="s">
        <v>36</v>
      </c>
      <c r="F57" s="22">
        <v>2</v>
      </c>
      <c r="G57" s="22">
        <v>1</v>
      </c>
      <c r="H57" s="22">
        <v>0</v>
      </c>
      <c r="I57" s="22">
        <v>1</v>
      </c>
      <c r="J57" s="6"/>
      <c r="L57" s="10" t="s">
        <v>11</v>
      </c>
      <c r="M57" s="11"/>
      <c r="N57" s="4"/>
      <c r="O57" s="15" t="s">
        <v>13</v>
      </c>
      <c r="P57" s="19">
        <f>+COUNTIF(D4:D178,"chachapoyas")</f>
        <v>4</v>
      </c>
      <c r="Q57" s="63"/>
      <c r="R57" s="32" t="s">
        <v>82</v>
      </c>
      <c r="S57" s="33" t="s">
        <v>26</v>
      </c>
      <c r="T57" s="33" t="s">
        <v>27</v>
      </c>
      <c r="U57" s="33" t="s">
        <v>28</v>
      </c>
      <c r="V57" s="33" t="s">
        <v>29</v>
      </c>
      <c r="W57" s="33" t="s">
        <v>30</v>
      </c>
      <c r="X57" s="33" t="s">
        <v>31</v>
      </c>
      <c r="Y57" s="33" t="s">
        <v>32</v>
      </c>
      <c r="AA57" s="44"/>
      <c r="AB57" s="44"/>
      <c r="AD57" s="19" t="s">
        <v>103</v>
      </c>
      <c r="AE57" s="49">
        <f>_xlfn.QUARTILE.EXC(O77:O251,1)</f>
        <v>7</v>
      </c>
    </row>
    <row r="58" spans="1:31" ht="15.75" customHeight="1">
      <c r="A58" s="22">
        <v>63</v>
      </c>
      <c r="B58" s="22">
        <v>10205</v>
      </c>
      <c r="C58" s="22" t="s">
        <v>12</v>
      </c>
      <c r="D58" s="22" t="s">
        <v>19</v>
      </c>
      <c r="E58" s="22" t="s">
        <v>36</v>
      </c>
      <c r="F58" s="22">
        <v>2</v>
      </c>
      <c r="G58" s="22">
        <v>1</v>
      </c>
      <c r="H58" s="22">
        <v>0</v>
      </c>
      <c r="I58" s="22">
        <v>1</v>
      </c>
      <c r="J58" s="6"/>
      <c r="L58" s="9" t="s">
        <v>15</v>
      </c>
      <c r="M58" s="9">
        <v>175</v>
      </c>
      <c r="N58" s="4"/>
      <c r="O58" s="15" t="s">
        <v>19</v>
      </c>
      <c r="P58" s="19">
        <f>+COUNTIF(D4:D178,"bagua")</f>
        <v>49</v>
      </c>
      <c r="Q58" s="16"/>
      <c r="R58" s="14">
        <v>0</v>
      </c>
      <c r="S58" s="4"/>
      <c r="T58" s="4"/>
      <c r="U58" s="4"/>
      <c r="V58" s="4"/>
      <c r="W58" s="4"/>
      <c r="X58" s="4"/>
      <c r="Y58" s="4"/>
      <c r="AA58" s="44" t="s">
        <v>90</v>
      </c>
      <c r="AB58" s="44">
        <v>23.102857142857143</v>
      </c>
      <c r="AD58" s="19" t="s">
        <v>104</v>
      </c>
      <c r="AE58" s="49">
        <f>_xlfn.QUARTILE.EXC(O77:O251,2)</f>
        <v>10</v>
      </c>
    </row>
    <row r="59" spans="1:31" ht="15.75" customHeight="1">
      <c r="A59" s="22">
        <v>63</v>
      </c>
      <c r="B59" s="22">
        <v>10205</v>
      </c>
      <c r="C59" s="22" t="s">
        <v>12</v>
      </c>
      <c r="D59" s="22" t="s">
        <v>19</v>
      </c>
      <c r="E59" s="22" t="s">
        <v>36</v>
      </c>
      <c r="F59" s="22">
        <v>1</v>
      </c>
      <c r="G59" s="22">
        <v>0</v>
      </c>
      <c r="H59" s="22">
        <v>0</v>
      </c>
      <c r="I59" s="22">
        <v>1</v>
      </c>
      <c r="J59" s="6"/>
      <c r="L59" s="9" t="s">
        <v>16</v>
      </c>
      <c r="M59" s="5">
        <f>+MAX(P57:P75)</f>
        <v>49</v>
      </c>
      <c r="N59" s="4"/>
      <c r="O59" s="15" t="s">
        <v>24</v>
      </c>
      <c r="P59" s="19">
        <f>+COUNTIF(D4:D178,"chiclayo")</f>
        <v>5</v>
      </c>
      <c r="Q59" s="16"/>
      <c r="R59" s="14">
        <v>1</v>
      </c>
      <c r="S59" s="4">
        <v>2</v>
      </c>
      <c r="T59" s="4">
        <f>S59+$M$63</f>
        <v>8</v>
      </c>
      <c r="U59" s="4">
        <f>(S59+T59)/2</f>
        <v>5</v>
      </c>
      <c r="V59">
        <f t="array" ref="V59:V66">+FREQUENCY(O77:O251,T59:T66)</f>
        <v>72</v>
      </c>
      <c r="W59">
        <f>V59</f>
        <v>72</v>
      </c>
      <c r="X59">
        <f>V59/$V$67</f>
        <v>0.41142857142857142</v>
      </c>
      <c r="Y59">
        <f>X59</f>
        <v>0.41142857142857142</v>
      </c>
      <c r="AA59" s="44" t="s">
        <v>91</v>
      </c>
      <c r="AB59" s="44">
        <v>1.4107742644853822</v>
      </c>
      <c r="AD59" s="19" t="s">
        <v>105</v>
      </c>
      <c r="AE59" s="49">
        <f>_xlfn.QUARTILE.EXC(O77:O251,3)</f>
        <v>49</v>
      </c>
    </row>
    <row r="60" spans="1:31" ht="15.75" customHeight="1">
      <c r="A60" s="22">
        <v>63</v>
      </c>
      <c r="B60" s="22">
        <v>10205</v>
      </c>
      <c r="C60" s="22" t="s">
        <v>12</v>
      </c>
      <c r="D60" s="22" t="s">
        <v>19</v>
      </c>
      <c r="E60" s="22" t="s">
        <v>36</v>
      </c>
      <c r="F60" s="22">
        <v>1</v>
      </c>
      <c r="G60" s="22">
        <v>0</v>
      </c>
      <c r="H60" s="22">
        <v>0</v>
      </c>
      <c r="I60" s="22">
        <v>0</v>
      </c>
      <c r="J60" s="6"/>
      <c r="L60" s="9" t="s">
        <v>17</v>
      </c>
      <c r="M60" s="4">
        <f>+MIN(P57:P75)</f>
        <v>2</v>
      </c>
      <c r="N60" s="4"/>
      <c r="O60" s="15" t="s">
        <v>33</v>
      </c>
      <c r="P60" s="19">
        <f>+COUNTIF(D4:D178,"san martin")</f>
        <v>3</v>
      </c>
      <c r="Q60" s="16"/>
      <c r="R60" s="14">
        <v>2</v>
      </c>
      <c r="S60" s="4">
        <f>T59+1</f>
        <v>9</v>
      </c>
      <c r="T60" s="4">
        <f t="shared" ref="T60:T66" si="10">S60+$M$63</f>
        <v>15</v>
      </c>
      <c r="U60" s="4">
        <f t="shared" ref="U60:U66" si="11">(S60+T60)/2</f>
        <v>12</v>
      </c>
      <c r="V60" s="45">
        <v>21</v>
      </c>
      <c r="W60" s="4">
        <f>W59+V60</f>
        <v>93</v>
      </c>
      <c r="X60">
        <f t="shared" ref="X60:X66" si="12">V60/$V$67</f>
        <v>0.12</v>
      </c>
      <c r="Y60" s="4">
        <f>Y59+X60</f>
        <v>0.53142857142857136</v>
      </c>
      <c r="AA60" s="44" t="s">
        <v>92</v>
      </c>
      <c r="AB60" s="44">
        <v>10</v>
      </c>
      <c r="AD60" s="51" t="s">
        <v>107</v>
      </c>
      <c r="AE60" s="4">
        <f>_xlfn.PERCENTILE.EXC(O77:O251,0.3)</f>
        <v>7</v>
      </c>
    </row>
    <row r="61" spans="1:31" ht="15.75" customHeight="1">
      <c r="A61" s="22">
        <v>63</v>
      </c>
      <c r="B61" s="22">
        <v>10205</v>
      </c>
      <c r="C61" s="22" t="s">
        <v>12</v>
      </c>
      <c r="D61" s="22" t="s">
        <v>19</v>
      </c>
      <c r="E61" s="22" t="s">
        <v>36</v>
      </c>
      <c r="F61" s="22">
        <v>2</v>
      </c>
      <c r="G61" s="22">
        <v>0</v>
      </c>
      <c r="H61" s="22">
        <v>0</v>
      </c>
      <c r="I61" s="22">
        <v>0</v>
      </c>
      <c r="J61" s="6"/>
      <c r="L61" s="9" t="s">
        <v>18</v>
      </c>
      <c r="M61" s="4">
        <f>+M59-M60</f>
        <v>47</v>
      </c>
      <c r="N61" s="4"/>
      <c r="O61" s="15" t="s">
        <v>38</v>
      </c>
      <c r="P61" s="19">
        <f>+COUNTIF(D4:D178,"utcubamba")</f>
        <v>4</v>
      </c>
      <c r="Q61" s="16"/>
      <c r="R61" s="14">
        <v>3</v>
      </c>
      <c r="S61" s="4">
        <f t="shared" ref="S61:S66" si="13">T60+1</f>
        <v>16</v>
      </c>
      <c r="T61" s="4">
        <f t="shared" si="10"/>
        <v>22</v>
      </c>
      <c r="U61" s="4">
        <f t="shared" si="11"/>
        <v>19</v>
      </c>
      <c r="V61" s="45">
        <v>0</v>
      </c>
      <c r="W61" s="4">
        <f t="shared" ref="W61:W66" si="14">W60+V61</f>
        <v>93</v>
      </c>
      <c r="X61">
        <f t="shared" si="12"/>
        <v>0</v>
      </c>
      <c r="Y61" s="4">
        <f t="shared" ref="Y61:Y66" si="15">Y60+X61</f>
        <v>0.53142857142857136</v>
      </c>
      <c r="AA61" s="44" t="s">
        <v>93</v>
      </c>
      <c r="AB61" s="44">
        <v>49</v>
      </c>
      <c r="AD61" s="51" t="s">
        <v>108</v>
      </c>
      <c r="AE61" s="4">
        <f>_xlfn.PERCENTILE.EXC(O77:O251,0.5)</f>
        <v>10</v>
      </c>
    </row>
    <row r="62" spans="1:31" ht="15.75" customHeight="1">
      <c r="A62" s="22">
        <v>66</v>
      </c>
      <c r="B62" s="22">
        <v>10205</v>
      </c>
      <c r="C62" s="22" t="s">
        <v>12</v>
      </c>
      <c r="D62" s="22" t="s">
        <v>19</v>
      </c>
      <c r="E62" s="22" t="s">
        <v>36</v>
      </c>
      <c r="F62" s="22">
        <v>2</v>
      </c>
      <c r="G62" s="22">
        <v>1</v>
      </c>
      <c r="H62" s="22">
        <v>0</v>
      </c>
      <c r="I62" s="22">
        <v>1</v>
      </c>
      <c r="J62" s="6"/>
      <c r="L62" s="9" t="s">
        <v>21</v>
      </c>
      <c r="M62" s="4">
        <v>8</v>
      </c>
      <c r="N62" s="19">
        <f>1+3.322*LOG10(M58)</f>
        <v>8.4513723977358701</v>
      </c>
      <c r="O62" s="15" t="s">
        <v>49</v>
      </c>
      <c r="P62" s="19">
        <f>+COUNTIF(D4:D178,"bongara")</f>
        <v>31</v>
      </c>
      <c r="Q62" s="16"/>
      <c r="R62" s="14">
        <v>4</v>
      </c>
      <c r="S62" s="4">
        <f t="shared" si="13"/>
        <v>23</v>
      </c>
      <c r="T62" s="4">
        <f t="shared" si="10"/>
        <v>29</v>
      </c>
      <c r="U62" s="4">
        <f t="shared" si="11"/>
        <v>26</v>
      </c>
      <c r="V62" s="45">
        <v>0</v>
      </c>
      <c r="W62" s="4">
        <f t="shared" si="14"/>
        <v>93</v>
      </c>
      <c r="X62">
        <f t="shared" si="12"/>
        <v>0</v>
      </c>
      <c r="Y62" s="4">
        <f t="shared" si="15"/>
        <v>0.53142857142857136</v>
      </c>
      <c r="AA62" s="44" t="s">
        <v>94</v>
      </c>
      <c r="AB62" s="44">
        <v>18.662789299391918</v>
      </c>
      <c r="AD62" s="51" t="s">
        <v>109</v>
      </c>
      <c r="AE62" s="4">
        <f>_xlfn.PERCENTILE.EXC(O77:O251,0.8)</f>
        <v>49</v>
      </c>
    </row>
    <row r="63" spans="1:31" ht="15.75" customHeight="1">
      <c r="A63" s="22">
        <v>66</v>
      </c>
      <c r="B63" s="22">
        <v>10205</v>
      </c>
      <c r="C63" s="22" t="s">
        <v>12</v>
      </c>
      <c r="D63" s="22" t="s">
        <v>19</v>
      </c>
      <c r="E63" s="22" t="s">
        <v>36</v>
      </c>
      <c r="F63" s="22">
        <v>2</v>
      </c>
      <c r="G63" s="22">
        <v>0</v>
      </c>
      <c r="H63" s="22">
        <v>0</v>
      </c>
      <c r="I63" s="22">
        <v>0</v>
      </c>
      <c r="J63" s="6"/>
      <c r="L63" s="9" t="s">
        <v>22</v>
      </c>
      <c r="M63" s="4">
        <v>6</v>
      </c>
      <c r="N63" s="4">
        <f>M61/M62</f>
        <v>5.875</v>
      </c>
      <c r="O63" s="15" t="s">
        <v>45</v>
      </c>
      <c r="P63" s="56">
        <f>+COUNTIF(D4:D178,"lima")</f>
        <v>7</v>
      </c>
      <c r="Q63" s="16"/>
      <c r="R63" s="14">
        <v>5</v>
      </c>
      <c r="S63" s="4">
        <f t="shared" si="13"/>
        <v>30</v>
      </c>
      <c r="T63" s="4">
        <f t="shared" si="10"/>
        <v>36</v>
      </c>
      <c r="U63" s="4">
        <f t="shared" si="11"/>
        <v>33</v>
      </c>
      <c r="V63" s="45">
        <v>33</v>
      </c>
      <c r="W63" s="4">
        <f t="shared" si="14"/>
        <v>126</v>
      </c>
      <c r="X63">
        <f t="shared" si="12"/>
        <v>0.18857142857142858</v>
      </c>
      <c r="Y63" s="4">
        <f t="shared" si="15"/>
        <v>0.72</v>
      </c>
      <c r="AA63" s="44" t="s">
        <v>95</v>
      </c>
      <c r="AB63" s="44">
        <v>348.29970443349748</v>
      </c>
    </row>
    <row r="64" spans="1:31" ht="15.75" customHeight="1">
      <c r="A64" s="22">
        <v>68</v>
      </c>
      <c r="B64" s="22">
        <v>10205</v>
      </c>
      <c r="C64" s="22" t="s">
        <v>12</v>
      </c>
      <c r="D64" s="22" t="s">
        <v>19</v>
      </c>
      <c r="E64" s="22" t="s">
        <v>36</v>
      </c>
      <c r="F64" s="22">
        <v>2</v>
      </c>
      <c r="G64" s="22">
        <v>0</v>
      </c>
      <c r="H64" s="22">
        <v>0</v>
      </c>
      <c r="I64" s="22">
        <v>0</v>
      </c>
      <c r="J64" s="6"/>
      <c r="L64" s="4"/>
      <c r="M64" s="4"/>
      <c r="N64" s="4"/>
      <c r="O64" s="15" t="s">
        <v>58</v>
      </c>
      <c r="P64" s="56">
        <f>+COUNTIF(D4:D178,"datem del marañon")</f>
        <v>4</v>
      </c>
      <c r="Q64" s="16"/>
      <c r="R64" s="14">
        <v>6</v>
      </c>
      <c r="S64" s="4">
        <f t="shared" si="13"/>
        <v>37</v>
      </c>
      <c r="T64" s="4">
        <f t="shared" si="10"/>
        <v>43</v>
      </c>
      <c r="U64" s="4">
        <f t="shared" si="11"/>
        <v>40</v>
      </c>
      <c r="V64" s="45">
        <v>0</v>
      </c>
      <c r="W64" s="4">
        <f t="shared" si="14"/>
        <v>126</v>
      </c>
      <c r="X64">
        <f t="shared" si="12"/>
        <v>0</v>
      </c>
      <c r="Y64" s="4">
        <f t="shared" si="15"/>
        <v>0.72</v>
      </c>
      <c r="AA64" s="44" t="s">
        <v>96</v>
      </c>
      <c r="AB64" s="44">
        <v>-1.5896094487188048</v>
      </c>
    </row>
    <row r="65" spans="1:28" ht="15.75" customHeight="1">
      <c r="A65" s="22">
        <v>68</v>
      </c>
      <c r="B65" s="22">
        <v>10205</v>
      </c>
      <c r="C65" s="22" t="s">
        <v>12</v>
      </c>
      <c r="D65" s="22" t="s">
        <v>19</v>
      </c>
      <c r="E65" s="22" t="s">
        <v>36</v>
      </c>
      <c r="F65" s="22">
        <v>2</v>
      </c>
      <c r="G65" s="22">
        <v>0</v>
      </c>
      <c r="H65" s="22">
        <v>0</v>
      </c>
      <c r="I65" s="22">
        <v>0</v>
      </c>
      <c r="J65" s="6"/>
      <c r="L65" s="4"/>
      <c r="M65" s="4"/>
      <c r="N65" s="4"/>
      <c r="O65" s="15" t="s">
        <v>60</v>
      </c>
      <c r="P65" s="56">
        <f>+COUNTIF(D4:D178,"condorcanqui")</f>
        <v>7</v>
      </c>
      <c r="Q65" s="16"/>
      <c r="R65" s="14">
        <v>7</v>
      </c>
      <c r="S65" s="4">
        <f t="shared" si="13"/>
        <v>44</v>
      </c>
      <c r="T65" s="4">
        <f t="shared" si="10"/>
        <v>50</v>
      </c>
      <c r="U65" s="4">
        <f t="shared" si="11"/>
        <v>47</v>
      </c>
      <c r="V65" s="45">
        <v>49</v>
      </c>
      <c r="W65" s="4">
        <f t="shared" si="14"/>
        <v>175</v>
      </c>
      <c r="X65">
        <f t="shared" si="12"/>
        <v>0.28000000000000003</v>
      </c>
      <c r="Y65" s="4">
        <f t="shared" si="15"/>
        <v>1</v>
      </c>
      <c r="AA65" s="44" t="s">
        <v>97</v>
      </c>
      <c r="AB65" s="44">
        <v>0.38241023559364973</v>
      </c>
    </row>
    <row r="66" spans="1:28" ht="15.75" customHeight="1">
      <c r="A66" s="22">
        <v>68</v>
      </c>
      <c r="B66" s="22">
        <v>10205</v>
      </c>
      <c r="C66" s="22" t="s">
        <v>12</v>
      </c>
      <c r="D66" s="22" t="s">
        <v>19</v>
      </c>
      <c r="E66" s="22" t="s">
        <v>36</v>
      </c>
      <c r="F66" s="22">
        <v>1</v>
      </c>
      <c r="G66" s="22">
        <v>0</v>
      </c>
      <c r="H66" s="22">
        <v>0</v>
      </c>
      <c r="I66" s="22">
        <v>1</v>
      </c>
      <c r="J66" s="6"/>
      <c r="L66" s="4"/>
      <c r="M66" s="4"/>
      <c r="N66" s="4"/>
      <c r="O66" s="15" t="s">
        <v>62</v>
      </c>
      <c r="P66" s="56">
        <f>+COUNTIF(D4:D178,"JAEN")</f>
        <v>5</v>
      </c>
      <c r="Q66" s="16"/>
      <c r="R66" s="14">
        <v>8</v>
      </c>
      <c r="S66" s="4">
        <f t="shared" si="13"/>
        <v>51</v>
      </c>
      <c r="T66" s="4">
        <f t="shared" si="10"/>
        <v>57</v>
      </c>
      <c r="U66" s="4">
        <f t="shared" si="11"/>
        <v>54</v>
      </c>
      <c r="V66" s="45">
        <v>0</v>
      </c>
      <c r="W66" s="4">
        <f t="shared" si="14"/>
        <v>175</v>
      </c>
      <c r="X66">
        <f t="shared" si="12"/>
        <v>0</v>
      </c>
      <c r="Y66" s="4">
        <f t="shared" si="15"/>
        <v>1</v>
      </c>
      <c r="AA66" s="44" t="s">
        <v>10</v>
      </c>
      <c r="AB66" s="44">
        <v>47</v>
      </c>
    </row>
    <row r="67" spans="1:28" ht="15.75" customHeight="1">
      <c r="A67" s="22">
        <v>68</v>
      </c>
      <c r="B67" s="22">
        <v>10205</v>
      </c>
      <c r="C67" s="22" t="s">
        <v>12</v>
      </c>
      <c r="D67" s="22" t="s">
        <v>19</v>
      </c>
      <c r="E67" s="22" t="s">
        <v>36</v>
      </c>
      <c r="F67" s="22">
        <v>2</v>
      </c>
      <c r="G67" s="22">
        <v>1</v>
      </c>
      <c r="H67" s="22">
        <v>0</v>
      </c>
      <c r="I67" s="22">
        <v>1</v>
      </c>
      <c r="J67" s="6"/>
      <c r="L67" s="4"/>
      <c r="M67" s="4"/>
      <c r="N67" s="4"/>
      <c r="O67" s="15" t="s">
        <v>65</v>
      </c>
      <c r="P67" s="56">
        <f>+COUNTIF(D4:D178,"UCAYALI")</f>
        <v>4</v>
      </c>
      <c r="Q67" s="16"/>
      <c r="R67" s="24" t="s">
        <v>35</v>
      </c>
      <c r="S67" s="25"/>
      <c r="T67" s="25"/>
      <c r="U67" s="26"/>
      <c r="V67" s="53">
        <f>+SUM(V59:V66)</f>
        <v>175</v>
      </c>
      <c r="W67" s="4"/>
      <c r="X67" s="30">
        <f>+SUM(X59:X66)</f>
        <v>1</v>
      </c>
      <c r="Y67" s="4"/>
      <c r="AA67" s="44" t="s">
        <v>98</v>
      </c>
      <c r="AB67" s="44">
        <v>2</v>
      </c>
    </row>
    <row r="68" spans="1:28" ht="15.75" customHeight="1">
      <c r="A68" s="22">
        <v>68</v>
      </c>
      <c r="B68" s="22">
        <v>10205</v>
      </c>
      <c r="C68" s="22" t="s">
        <v>12</v>
      </c>
      <c r="D68" s="22" t="s">
        <v>19</v>
      </c>
      <c r="E68" s="22" t="s">
        <v>36</v>
      </c>
      <c r="F68" s="22">
        <v>1</v>
      </c>
      <c r="G68" s="22">
        <v>0</v>
      </c>
      <c r="H68" s="22">
        <v>0</v>
      </c>
      <c r="I68" s="22">
        <v>0</v>
      </c>
      <c r="J68" s="6"/>
      <c r="L68" s="4"/>
      <c r="M68" s="19"/>
      <c r="N68" s="4"/>
      <c r="O68" s="15" t="s">
        <v>68</v>
      </c>
      <c r="P68" s="56">
        <f>+COUNTIF(D5:D179,"HUARAZ")</f>
        <v>10</v>
      </c>
      <c r="Q68" s="16"/>
      <c r="AA68" s="44" t="s">
        <v>99</v>
      </c>
      <c r="AB68" s="44">
        <v>49</v>
      </c>
    </row>
    <row r="69" spans="1:28" ht="15.75" customHeight="1">
      <c r="A69" s="22">
        <v>69</v>
      </c>
      <c r="B69" s="22">
        <v>10303</v>
      </c>
      <c r="C69" s="22" t="s">
        <v>12</v>
      </c>
      <c r="D69" s="22" t="s">
        <v>49</v>
      </c>
      <c r="E69" s="22" t="s">
        <v>50</v>
      </c>
      <c r="F69" s="22">
        <v>1</v>
      </c>
      <c r="G69" s="22">
        <v>0</v>
      </c>
      <c r="H69" s="22">
        <v>0</v>
      </c>
      <c r="I69" s="22">
        <v>0</v>
      </c>
      <c r="J69" s="6"/>
      <c r="L69" s="4"/>
      <c r="M69" s="4"/>
      <c r="N69" s="13"/>
      <c r="O69" s="15" t="s">
        <v>70</v>
      </c>
      <c r="P69" s="56">
        <f>+COUNTIF(D4:D178,"ANTONIO RAYMONDI")</f>
        <v>8</v>
      </c>
      <c r="Q69" s="16"/>
      <c r="AA69" s="44" t="s">
        <v>100</v>
      </c>
      <c r="AB69" s="44">
        <v>4043</v>
      </c>
    </row>
    <row r="70" spans="1:28" ht="15.75" customHeight="1">
      <c r="A70" s="22">
        <v>69</v>
      </c>
      <c r="B70" s="22">
        <v>10303</v>
      </c>
      <c r="C70" s="22" t="s">
        <v>12</v>
      </c>
      <c r="D70" s="22" t="s">
        <v>49</v>
      </c>
      <c r="E70" s="22" t="s">
        <v>50</v>
      </c>
      <c r="F70" s="22">
        <v>2</v>
      </c>
      <c r="G70" s="22">
        <v>1</v>
      </c>
      <c r="H70" s="22">
        <v>0</v>
      </c>
      <c r="I70" s="22">
        <v>1</v>
      </c>
      <c r="J70" s="6"/>
      <c r="L70" s="4"/>
      <c r="M70" s="4"/>
      <c r="N70" s="4"/>
      <c r="O70" s="15" t="s">
        <v>42</v>
      </c>
      <c r="P70" s="56">
        <f>+COUNTIF(D4:D178,"CUSCO")</f>
        <v>2</v>
      </c>
      <c r="Q70" s="16"/>
      <c r="AA70" s="44" t="s">
        <v>101</v>
      </c>
      <c r="AB70" s="44">
        <v>175</v>
      </c>
    </row>
    <row r="71" spans="1:28" ht="15.75" customHeight="1">
      <c r="A71" s="22">
        <v>69</v>
      </c>
      <c r="B71" s="22">
        <v>10303</v>
      </c>
      <c r="C71" s="22" t="s">
        <v>12</v>
      </c>
      <c r="D71" s="22" t="s">
        <v>49</v>
      </c>
      <c r="E71" s="22" t="s">
        <v>50</v>
      </c>
      <c r="F71" s="22">
        <v>1</v>
      </c>
      <c r="G71" s="22">
        <v>0</v>
      </c>
      <c r="H71" s="22">
        <v>0</v>
      </c>
      <c r="I71" s="22">
        <v>1</v>
      </c>
      <c r="J71" s="6"/>
      <c r="L71" s="4"/>
      <c r="M71" s="4"/>
      <c r="N71" s="4"/>
      <c r="O71" s="15" t="s">
        <v>43</v>
      </c>
      <c r="P71" s="56">
        <f>+COUNTIF(D4:D178,"ica")</f>
        <v>6</v>
      </c>
      <c r="Q71" s="16"/>
    </row>
    <row r="72" spans="1:28" ht="15.75" customHeight="1">
      <c r="A72" s="22">
        <v>69</v>
      </c>
      <c r="B72" s="22">
        <v>10303</v>
      </c>
      <c r="C72" s="22" t="s">
        <v>12</v>
      </c>
      <c r="D72" s="22" t="s">
        <v>49</v>
      </c>
      <c r="E72" s="22" t="s">
        <v>50</v>
      </c>
      <c r="F72" s="22">
        <v>2</v>
      </c>
      <c r="G72" s="22">
        <v>0</v>
      </c>
      <c r="H72" s="22">
        <v>0</v>
      </c>
      <c r="I72" s="22">
        <v>0</v>
      </c>
      <c r="J72" s="6"/>
      <c r="L72" s="4"/>
      <c r="M72" s="4"/>
      <c r="N72" s="4"/>
      <c r="O72" s="15" t="s">
        <v>76</v>
      </c>
      <c r="P72" s="56">
        <f>+COUNTIF(D4:D178,"andahuaylas")</f>
        <v>8</v>
      </c>
      <c r="Q72" s="16"/>
    </row>
    <row r="73" spans="1:28" ht="15.75" customHeight="1">
      <c r="A73" s="22">
        <v>71</v>
      </c>
      <c r="B73" s="22">
        <v>10307</v>
      </c>
      <c r="C73" s="22" t="s">
        <v>12</v>
      </c>
      <c r="D73" s="22" t="s">
        <v>49</v>
      </c>
      <c r="E73" s="22" t="s">
        <v>51</v>
      </c>
      <c r="F73" s="22">
        <v>2</v>
      </c>
      <c r="G73" s="22">
        <v>1</v>
      </c>
      <c r="H73" s="22">
        <v>0</v>
      </c>
      <c r="I73" s="22">
        <v>1</v>
      </c>
      <c r="J73" s="6"/>
      <c r="L73" s="4"/>
      <c r="M73" s="4"/>
      <c r="N73" s="4"/>
      <c r="O73" s="15" t="s">
        <v>78</v>
      </c>
      <c r="P73" s="56">
        <f>+COUNTIF(D4:D178,"chincheros")</f>
        <v>4</v>
      </c>
      <c r="Q73" s="16"/>
    </row>
    <row r="74" spans="1:28" ht="15.75" customHeight="1">
      <c r="A74" s="22">
        <v>71</v>
      </c>
      <c r="B74" s="22">
        <v>10307</v>
      </c>
      <c r="C74" s="22" t="s">
        <v>12</v>
      </c>
      <c r="D74" s="22" t="s">
        <v>49</v>
      </c>
      <c r="E74" s="22" t="s">
        <v>51</v>
      </c>
      <c r="F74" s="22">
        <v>2</v>
      </c>
      <c r="G74" s="22">
        <v>0</v>
      </c>
      <c r="H74" s="22">
        <v>0</v>
      </c>
      <c r="I74" s="22">
        <v>0</v>
      </c>
      <c r="J74" s="6"/>
      <c r="L74" s="4"/>
      <c r="M74" s="4"/>
      <c r="N74" s="4"/>
      <c r="O74" s="62" t="s">
        <v>63</v>
      </c>
      <c r="P74" s="56">
        <f>+COUNTIF(D4:D178,"rioja")</f>
        <v>10</v>
      </c>
      <c r="Q74" s="16"/>
    </row>
    <row r="75" spans="1:28" ht="15.75" customHeight="1">
      <c r="A75" s="22">
        <v>71</v>
      </c>
      <c r="B75" s="22">
        <v>10307</v>
      </c>
      <c r="C75" s="22" t="s">
        <v>12</v>
      </c>
      <c r="D75" s="22" t="s">
        <v>49</v>
      </c>
      <c r="E75" s="22" t="s">
        <v>51</v>
      </c>
      <c r="F75" s="22">
        <v>1</v>
      </c>
      <c r="G75" s="22">
        <v>0</v>
      </c>
      <c r="H75" s="22">
        <v>0</v>
      </c>
      <c r="I75" s="22">
        <v>1</v>
      </c>
      <c r="J75" s="6"/>
      <c r="L75" s="4"/>
      <c r="M75" s="4"/>
      <c r="N75" s="4"/>
      <c r="O75" s="62" t="s">
        <v>74</v>
      </c>
      <c r="P75" s="56">
        <f>+COUNTIF(D4:D178,"canchis")</f>
        <v>4</v>
      </c>
      <c r="Q75" s="16"/>
    </row>
    <row r="76" spans="1:28" ht="15.75" customHeight="1">
      <c r="A76" s="22">
        <v>71</v>
      </c>
      <c r="B76" s="22">
        <v>10307</v>
      </c>
      <c r="C76" s="22" t="s">
        <v>12</v>
      </c>
      <c r="D76" s="22" t="s">
        <v>49</v>
      </c>
      <c r="E76" s="22" t="s">
        <v>51</v>
      </c>
      <c r="F76" s="22">
        <v>1</v>
      </c>
      <c r="G76" s="22">
        <v>0</v>
      </c>
      <c r="H76" s="22">
        <v>0</v>
      </c>
      <c r="I76" s="22">
        <v>1</v>
      </c>
      <c r="J76" s="6"/>
      <c r="Q76" s="16"/>
    </row>
    <row r="77" spans="1:28" ht="15.75" customHeight="1">
      <c r="A77" s="22">
        <v>71</v>
      </c>
      <c r="B77" s="22">
        <v>10307</v>
      </c>
      <c r="C77" s="22" t="s">
        <v>12</v>
      </c>
      <c r="D77" s="22" t="s">
        <v>49</v>
      </c>
      <c r="E77" s="22" t="s">
        <v>51</v>
      </c>
      <c r="F77" s="22">
        <v>1</v>
      </c>
      <c r="G77" s="22">
        <v>0</v>
      </c>
      <c r="H77" s="22">
        <v>0</v>
      </c>
      <c r="I77" s="22">
        <v>0</v>
      </c>
      <c r="J77" s="6"/>
      <c r="O77" s="19">
        <v>4</v>
      </c>
    </row>
    <row r="78" spans="1:28" ht="15.75" customHeight="1">
      <c r="A78" s="22">
        <v>71</v>
      </c>
      <c r="B78" s="22">
        <v>10307</v>
      </c>
      <c r="C78" s="22" t="s">
        <v>12</v>
      </c>
      <c r="D78" s="22" t="s">
        <v>49</v>
      </c>
      <c r="E78" s="22" t="s">
        <v>51</v>
      </c>
      <c r="F78" s="22">
        <v>1</v>
      </c>
      <c r="G78" s="22">
        <v>0</v>
      </c>
      <c r="H78" s="22">
        <v>0</v>
      </c>
      <c r="I78" s="22">
        <v>0</v>
      </c>
      <c r="J78" s="6"/>
      <c r="O78">
        <v>4</v>
      </c>
    </row>
    <row r="79" spans="1:28" ht="15.75" customHeight="1">
      <c r="A79" s="22">
        <v>72</v>
      </c>
      <c r="B79" s="22">
        <v>10306</v>
      </c>
      <c r="C79" s="22" t="s">
        <v>12</v>
      </c>
      <c r="D79" s="22" t="s">
        <v>49</v>
      </c>
      <c r="E79" s="22" t="s">
        <v>52</v>
      </c>
      <c r="F79" s="22">
        <v>1</v>
      </c>
      <c r="G79" s="22">
        <v>1</v>
      </c>
      <c r="H79" s="22">
        <v>0</v>
      </c>
      <c r="I79" s="22">
        <v>1</v>
      </c>
      <c r="J79" s="6"/>
      <c r="O79">
        <v>4</v>
      </c>
    </row>
    <row r="80" spans="1:28" ht="15.75" customHeight="1">
      <c r="A80" s="22">
        <v>77</v>
      </c>
      <c r="B80" s="22">
        <v>150110</v>
      </c>
      <c r="C80" s="22" t="s">
        <v>45</v>
      </c>
      <c r="D80" s="22" t="s">
        <v>45</v>
      </c>
      <c r="E80" s="22" t="s">
        <v>53</v>
      </c>
      <c r="F80" s="22">
        <v>2</v>
      </c>
      <c r="G80" s="22">
        <v>1</v>
      </c>
      <c r="H80" s="22">
        <v>0</v>
      </c>
      <c r="I80" s="22">
        <v>1</v>
      </c>
      <c r="J80" s="6"/>
      <c r="O80">
        <v>4</v>
      </c>
    </row>
    <row r="81" spans="1:17" ht="15.75" customHeight="1">
      <c r="A81" s="22">
        <v>77</v>
      </c>
      <c r="B81" s="22">
        <v>150110</v>
      </c>
      <c r="C81" s="22" t="s">
        <v>45</v>
      </c>
      <c r="D81" s="22" t="s">
        <v>45</v>
      </c>
      <c r="E81" s="22" t="s">
        <v>53</v>
      </c>
      <c r="F81" s="22">
        <v>1</v>
      </c>
      <c r="G81" s="22">
        <v>0</v>
      </c>
      <c r="H81" s="22">
        <v>0</v>
      </c>
      <c r="I81" s="22">
        <v>0</v>
      </c>
      <c r="J81" s="6"/>
      <c r="O81" s="19">
        <v>49</v>
      </c>
      <c r="Q81">
        <f>+COUNT(O81:O129)</f>
        <v>49</v>
      </c>
    </row>
    <row r="82" spans="1:17" ht="15.75" customHeight="1">
      <c r="A82" s="22">
        <v>77</v>
      </c>
      <c r="B82" s="22">
        <v>150110</v>
      </c>
      <c r="C82" s="22" t="s">
        <v>45</v>
      </c>
      <c r="D82" s="22" t="s">
        <v>45</v>
      </c>
      <c r="E82" s="22" t="s">
        <v>53</v>
      </c>
      <c r="F82" s="22">
        <v>1</v>
      </c>
      <c r="G82" s="22">
        <v>0</v>
      </c>
      <c r="H82" s="22">
        <v>0</v>
      </c>
      <c r="I82" s="22">
        <v>1</v>
      </c>
      <c r="J82" s="6"/>
      <c r="O82" s="50">
        <v>49</v>
      </c>
    </row>
    <row r="83" spans="1:17" ht="15.75" customHeight="1">
      <c r="A83" s="22">
        <v>78</v>
      </c>
      <c r="B83" s="22">
        <v>10310</v>
      </c>
      <c r="C83" s="22" t="s">
        <v>12</v>
      </c>
      <c r="D83" s="22" t="s">
        <v>49</v>
      </c>
      <c r="E83" s="22" t="s">
        <v>54</v>
      </c>
      <c r="F83" s="22">
        <v>1</v>
      </c>
      <c r="G83" s="22">
        <v>0</v>
      </c>
      <c r="H83" s="22">
        <v>0</v>
      </c>
      <c r="I83" s="22">
        <v>0</v>
      </c>
      <c r="J83" s="6"/>
      <c r="O83" s="19">
        <v>49</v>
      </c>
    </row>
    <row r="84" spans="1:17" ht="15.75" customHeight="1">
      <c r="A84" s="22">
        <v>78</v>
      </c>
      <c r="B84" s="22">
        <v>10310</v>
      </c>
      <c r="C84" s="22" t="s">
        <v>12</v>
      </c>
      <c r="D84" s="22" t="s">
        <v>49</v>
      </c>
      <c r="E84" s="22" t="s">
        <v>54</v>
      </c>
      <c r="F84" s="22">
        <v>2</v>
      </c>
      <c r="G84" s="22">
        <v>1</v>
      </c>
      <c r="H84" s="22">
        <v>0</v>
      </c>
      <c r="I84" s="22">
        <v>1</v>
      </c>
      <c r="J84" s="6"/>
      <c r="O84" s="50">
        <v>49</v>
      </c>
    </row>
    <row r="85" spans="1:17" ht="15.75" customHeight="1">
      <c r="A85" s="22">
        <v>78</v>
      </c>
      <c r="B85" s="22">
        <v>10310</v>
      </c>
      <c r="C85" s="22" t="s">
        <v>12</v>
      </c>
      <c r="D85" s="22" t="s">
        <v>49</v>
      </c>
      <c r="E85" s="22" t="s">
        <v>54</v>
      </c>
      <c r="F85" s="22">
        <v>1</v>
      </c>
      <c r="G85" s="22">
        <v>0</v>
      </c>
      <c r="H85" s="22">
        <v>0</v>
      </c>
      <c r="I85" s="22">
        <v>0</v>
      </c>
      <c r="J85" s="6"/>
      <c r="O85" s="19">
        <v>49</v>
      </c>
    </row>
    <row r="86" spans="1:17" ht="15.75" customHeight="1">
      <c r="A86" s="22">
        <v>79</v>
      </c>
      <c r="B86" s="22">
        <v>10311</v>
      </c>
      <c r="C86" s="22" t="s">
        <v>12</v>
      </c>
      <c r="D86" s="22" t="s">
        <v>49</v>
      </c>
      <c r="E86" s="22" t="s">
        <v>55</v>
      </c>
      <c r="F86" s="22">
        <v>2</v>
      </c>
      <c r="G86" s="22">
        <v>1</v>
      </c>
      <c r="H86" s="22">
        <v>0</v>
      </c>
      <c r="I86" s="22">
        <v>1</v>
      </c>
      <c r="J86" s="6"/>
      <c r="O86" s="50">
        <v>49</v>
      </c>
    </row>
    <row r="87" spans="1:17" ht="15.75" customHeight="1">
      <c r="A87" s="22">
        <v>79</v>
      </c>
      <c r="B87" s="22">
        <v>10311</v>
      </c>
      <c r="C87" s="22" t="s">
        <v>12</v>
      </c>
      <c r="D87" s="22" t="s">
        <v>49</v>
      </c>
      <c r="E87" s="22" t="s">
        <v>55</v>
      </c>
      <c r="F87" s="22">
        <v>1</v>
      </c>
      <c r="G87" s="22">
        <v>0</v>
      </c>
      <c r="H87" s="22">
        <v>0</v>
      </c>
      <c r="I87" s="22">
        <v>1</v>
      </c>
      <c r="J87" s="6"/>
      <c r="O87" s="19">
        <v>49</v>
      </c>
    </row>
    <row r="88" spans="1:17" ht="15.75" customHeight="1">
      <c r="A88" s="22">
        <v>79</v>
      </c>
      <c r="B88" s="22">
        <v>10311</v>
      </c>
      <c r="C88" s="22" t="s">
        <v>12</v>
      </c>
      <c r="D88" s="22" t="s">
        <v>49</v>
      </c>
      <c r="E88" s="22" t="s">
        <v>55</v>
      </c>
      <c r="F88" s="22">
        <v>1</v>
      </c>
      <c r="G88" s="22">
        <v>0</v>
      </c>
      <c r="H88" s="22">
        <v>0</v>
      </c>
      <c r="I88" s="22">
        <v>0</v>
      </c>
      <c r="J88" s="6"/>
      <c r="O88" s="50">
        <v>49</v>
      </c>
    </row>
    <row r="89" spans="1:17" ht="15.75" customHeight="1">
      <c r="A89" s="22">
        <v>79</v>
      </c>
      <c r="B89" s="22">
        <v>10311</v>
      </c>
      <c r="C89" s="22" t="s">
        <v>12</v>
      </c>
      <c r="D89" s="22" t="s">
        <v>49</v>
      </c>
      <c r="E89" s="22" t="s">
        <v>55</v>
      </c>
      <c r="F89" s="22">
        <v>2</v>
      </c>
      <c r="G89" s="22">
        <v>0</v>
      </c>
      <c r="H89" s="22">
        <v>0</v>
      </c>
      <c r="I89" s="22">
        <v>0</v>
      </c>
      <c r="J89" s="6"/>
      <c r="O89" s="19">
        <v>49</v>
      </c>
    </row>
    <row r="90" spans="1:17" ht="15.75" customHeight="1">
      <c r="A90" s="22">
        <v>79</v>
      </c>
      <c r="B90" s="22">
        <v>10311</v>
      </c>
      <c r="C90" s="22" t="s">
        <v>12</v>
      </c>
      <c r="D90" s="22" t="s">
        <v>49</v>
      </c>
      <c r="E90" s="22" t="s">
        <v>55</v>
      </c>
      <c r="F90" s="22">
        <v>2</v>
      </c>
      <c r="G90" s="22">
        <v>0</v>
      </c>
      <c r="H90" s="22">
        <v>0</v>
      </c>
      <c r="I90" s="22">
        <v>0</v>
      </c>
      <c r="J90" s="6"/>
      <c r="O90" s="50">
        <v>49</v>
      </c>
    </row>
    <row r="91" spans="1:17" ht="15.75" customHeight="1">
      <c r="A91" s="22">
        <v>84</v>
      </c>
      <c r="B91" s="22">
        <v>10312</v>
      </c>
      <c r="C91" s="22" t="s">
        <v>12</v>
      </c>
      <c r="D91" s="22" t="s">
        <v>49</v>
      </c>
      <c r="E91" s="22" t="s">
        <v>56</v>
      </c>
      <c r="F91" s="22">
        <v>1</v>
      </c>
      <c r="G91" s="22">
        <v>0</v>
      </c>
      <c r="H91" s="22">
        <v>0</v>
      </c>
      <c r="I91" s="22">
        <v>0</v>
      </c>
      <c r="J91" s="6"/>
      <c r="O91" s="19">
        <v>49</v>
      </c>
    </row>
    <row r="92" spans="1:17" ht="15.75" customHeight="1">
      <c r="A92" s="22">
        <v>84</v>
      </c>
      <c r="B92" s="22">
        <v>10312</v>
      </c>
      <c r="C92" s="22" t="s">
        <v>12</v>
      </c>
      <c r="D92" s="22" t="s">
        <v>49</v>
      </c>
      <c r="E92" s="22" t="s">
        <v>56</v>
      </c>
      <c r="F92" s="22">
        <v>2</v>
      </c>
      <c r="G92" s="22">
        <v>0</v>
      </c>
      <c r="H92" s="22">
        <v>0</v>
      </c>
      <c r="I92" s="22">
        <v>0</v>
      </c>
      <c r="J92" s="6"/>
      <c r="O92" s="50">
        <v>49</v>
      </c>
    </row>
    <row r="93" spans="1:17" ht="15.75" customHeight="1">
      <c r="A93" s="22">
        <v>84</v>
      </c>
      <c r="B93" s="22">
        <v>10312</v>
      </c>
      <c r="C93" s="22" t="s">
        <v>12</v>
      </c>
      <c r="D93" s="22" t="s">
        <v>49</v>
      </c>
      <c r="E93" s="22" t="s">
        <v>56</v>
      </c>
      <c r="F93" s="22">
        <v>2</v>
      </c>
      <c r="G93" s="22">
        <v>1</v>
      </c>
      <c r="H93" s="22">
        <v>0</v>
      </c>
      <c r="I93" s="22">
        <v>1</v>
      </c>
      <c r="J93" s="6"/>
      <c r="O93" s="19">
        <v>49</v>
      </c>
    </row>
    <row r="94" spans="1:17" ht="15.75" customHeight="1">
      <c r="A94" s="22">
        <v>84</v>
      </c>
      <c r="B94" s="22">
        <v>10312</v>
      </c>
      <c r="C94" s="22" t="s">
        <v>12</v>
      </c>
      <c r="D94" s="22" t="s">
        <v>49</v>
      </c>
      <c r="E94" s="22" t="s">
        <v>56</v>
      </c>
      <c r="F94" s="22">
        <v>2</v>
      </c>
      <c r="G94" s="22">
        <v>0</v>
      </c>
      <c r="H94" s="22">
        <v>0</v>
      </c>
      <c r="I94" s="22">
        <v>0</v>
      </c>
      <c r="J94" s="6"/>
      <c r="O94" s="50">
        <v>49</v>
      </c>
    </row>
    <row r="95" spans="1:17" ht="15.75" customHeight="1">
      <c r="A95" s="22">
        <v>84</v>
      </c>
      <c r="B95" s="22">
        <v>10312</v>
      </c>
      <c r="C95" s="22" t="s">
        <v>12</v>
      </c>
      <c r="D95" s="22" t="s">
        <v>49</v>
      </c>
      <c r="E95" s="22" t="s">
        <v>56</v>
      </c>
      <c r="F95" s="22">
        <v>1</v>
      </c>
      <c r="G95" s="22">
        <v>0</v>
      </c>
      <c r="H95" s="22">
        <v>1</v>
      </c>
      <c r="I95" s="22">
        <v>1</v>
      </c>
      <c r="J95" s="6"/>
      <c r="O95" s="19">
        <v>49</v>
      </c>
    </row>
    <row r="96" spans="1:17" ht="15.75" customHeight="1">
      <c r="A96" s="22">
        <v>84</v>
      </c>
      <c r="B96" s="22">
        <v>10312</v>
      </c>
      <c r="C96" s="22" t="s">
        <v>12</v>
      </c>
      <c r="D96" s="22" t="s">
        <v>49</v>
      </c>
      <c r="E96" s="22" t="s">
        <v>56</v>
      </c>
      <c r="F96" s="22">
        <v>2</v>
      </c>
      <c r="G96" s="22">
        <v>0</v>
      </c>
      <c r="H96" s="22">
        <v>0</v>
      </c>
      <c r="I96" s="22">
        <v>0</v>
      </c>
      <c r="J96" s="6"/>
      <c r="O96" s="50">
        <v>49</v>
      </c>
    </row>
    <row r="97" spans="1:22" ht="15.75" customHeight="1">
      <c r="A97" s="22">
        <v>87</v>
      </c>
      <c r="B97" s="22">
        <v>10312</v>
      </c>
      <c r="C97" s="22" t="s">
        <v>12</v>
      </c>
      <c r="D97" s="22" t="s">
        <v>49</v>
      </c>
      <c r="E97" s="22" t="s">
        <v>56</v>
      </c>
      <c r="F97" s="22">
        <v>2</v>
      </c>
      <c r="G97" s="22">
        <v>1</v>
      </c>
      <c r="H97" s="22">
        <v>0</v>
      </c>
      <c r="I97" s="22">
        <v>1</v>
      </c>
      <c r="J97" s="6"/>
      <c r="O97" s="19">
        <v>49</v>
      </c>
    </row>
    <row r="98" spans="1:22" ht="15.75" customHeight="1">
      <c r="A98" s="22">
        <v>87</v>
      </c>
      <c r="B98" s="22">
        <v>10312</v>
      </c>
      <c r="C98" s="22" t="s">
        <v>12</v>
      </c>
      <c r="D98" s="22" t="s">
        <v>49</v>
      </c>
      <c r="E98" s="22" t="s">
        <v>56</v>
      </c>
      <c r="F98" s="22">
        <v>1</v>
      </c>
      <c r="G98" s="22">
        <v>0</v>
      </c>
      <c r="H98" s="22">
        <v>0</v>
      </c>
      <c r="I98" s="22">
        <v>1</v>
      </c>
      <c r="J98" s="6"/>
      <c r="O98" s="50">
        <v>49</v>
      </c>
    </row>
    <row r="99" spans="1:22" ht="15.75" customHeight="1">
      <c r="A99" s="22">
        <v>87</v>
      </c>
      <c r="B99" s="22">
        <v>10312</v>
      </c>
      <c r="C99" s="22" t="s">
        <v>12</v>
      </c>
      <c r="D99" s="22" t="s">
        <v>49</v>
      </c>
      <c r="E99" s="22" t="s">
        <v>56</v>
      </c>
      <c r="F99" s="22">
        <v>1</v>
      </c>
      <c r="G99" s="22">
        <v>0</v>
      </c>
      <c r="H99" s="22">
        <v>0</v>
      </c>
      <c r="I99" s="22">
        <v>0</v>
      </c>
      <c r="J99" s="6"/>
      <c r="O99" s="19">
        <v>49</v>
      </c>
    </row>
    <row r="100" spans="1:22" ht="15.75" customHeight="1">
      <c r="A100" s="22">
        <v>87</v>
      </c>
      <c r="B100" s="22">
        <v>10312</v>
      </c>
      <c r="C100" s="22" t="s">
        <v>12</v>
      </c>
      <c r="D100" s="22" t="s">
        <v>49</v>
      </c>
      <c r="E100" s="22" t="s">
        <v>56</v>
      </c>
      <c r="F100" s="22">
        <v>2</v>
      </c>
      <c r="G100" s="22">
        <v>0</v>
      </c>
      <c r="H100" s="22">
        <v>0</v>
      </c>
      <c r="I100" s="22">
        <v>1</v>
      </c>
      <c r="J100" s="6"/>
      <c r="O100" s="50">
        <v>49</v>
      </c>
    </row>
    <row r="101" spans="1:22" ht="15.75" customHeight="1">
      <c r="A101" s="22">
        <v>87</v>
      </c>
      <c r="B101" s="22">
        <v>10312</v>
      </c>
      <c r="C101" s="22" t="s">
        <v>12</v>
      </c>
      <c r="D101" s="22" t="s">
        <v>49</v>
      </c>
      <c r="E101" s="22" t="s">
        <v>56</v>
      </c>
      <c r="F101" s="22">
        <v>1</v>
      </c>
      <c r="G101" s="22">
        <v>0</v>
      </c>
      <c r="H101" s="22">
        <v>0</v>
      </c>
      <c r="I101" s="22">
        <v>1</v>
      </c>
      <c r="J101" s="6"/>
      <c r="O101" s="19">
        <v>49</v>
      </c>
    </row>
    <row r="102" spans="1:22" ht="15.75" customHeight="1">
      <c r="A102" s="22">
        <v>87</v>
      </c>
      <c r="B102" s="22">
        <v>10312</v>
      </c>
      <c r="C102" s="22" t="s">
        <v>12</v>
      </c>
      <c r="D102" s="22" t="s">
        <v>49</v>
      </c>
      <c r="E102" s="22" t="s">
        <v>56</v>
      </c>
      <c r="F102" s="22">
        <v>1</v>
      </c>
      <c r="G102" s="22">
        <v>0</v>
      </c>
      <c r="H102" s="22">
        <v>0</v>
      </c>
      <c r="I102" s="22">
        <v>0</v>
      </c>
      <c r="J102" s="6"/>
      <c r="O102" s="50">
        <v>49</v>
      </c>
    </row>
    <row r="103" spans="1:22" ht="15.75" customHeight="1">
      <c r="A103" s="22">
        <v>95</v>
      </c>
      <c r="B103" s="22">
        <v>160703</v>
      </c>
      <c r="C103" s="22" t="s">
        <v>57</v>
      </c>
      <c r="D103" s="22" t="s">
        <v>58</v>
      </c>
      <c r="E103" s="22" t="s">
        <v>59</v>
      </c>
      <c r="F103" s="22">
        <v>2</v>
      </c>
      <c r="G103" s="22">
        <v>0</v>
      </c>
      <c r="H103" s="22">
        <v>0</v>
      </c>
      <c r="I103" s="22">
        <v>0</v>
      </c>
      <c r="J103" s="6"/>
      <c r="O103" s="19">
        <v>49</v>
      </c>
    </row>
    <row r="104" spans="1:22" ht="15.75" customHeight="1">
      <c r="A104" s="22">
        <v>95</v>
      </c>
      <c r="B104" s="22">
        <v>160703</v>
      </c>
      <c r="C104" s="22" t="s">
        <v>57</v>
      </c>
      <c r="D104" s="22" t="s">
        <v>58</v>
      </c>
      <c r="E104" s="22" t="s">
        <v>59</v>
      </c>
      <c r="F104" s="22">
        <v>1</v>
      </c>
      <c r="G104" s="22">
        <v>0</v>
      </c>
      <c r="H104" s="22">
        <v>0</v>
      </c>
      <c r="I104" s="22">
        <v>0</v>
      </c>
      <c r="J104" s="6"/>
      <c r="O104" s="50">
        <v>49</v>
      </c>
      <c r="P104" s="1"/>
      <c r="Q104" s="1"/>
      <c r="R104" s="1"/>
      <c r="S104" s="1"/>
      <c r="T104" s="1"/>
      <c r="V104" s="1"/>
    </row>
    <row r="105" spans="1:22" ht="15.75" customHeight="1">
      <c r="A105" s="22">
        <v>95</v>
      </c>
      <c r="B105" s="22">
        <v>160703</v>
      </c>
      <c r="C105" s="22" t="s">
        <v>57</v>
      </c>
      <c r="D105" s="22" t="s">
        <v>58</v>
      </c>
      <c r="E105" s="22" t="s">
        <v>59</v>
      </c>
      <c r="F105" s="22">
        <v>2</v>
      </c>
      <c r="G105" s="22">
        <v>1</v>
      </c>
      <c r="H105" s="22">
        <v>0</v>
      </c>
      <c r="I105" s="22">
        <v>1</v>
      </c>
      <c r="J105" s="6"/>
      <c r="O105" s="19">
        <v>49</v>
      </c>
    </row>
    <row r="106" spans="1:22" ht="15.75" customHeight="1">
      <c r="A106" s="22">
        <v>95</v>
      </c>
      <c r="B106" s="22">
        <v>160703</v>
      </c>
      <c r="C106" s="22" t="s">
        <v>57</v>
      </c>
      <c r="D106" s="22" t="s">
        <v>58</v>
      </c>
      <c r="E106" s="22" t="s">
        <v>59</v>
      </c>
      <c r="F106" s="22">
        <v>1</v>
      </c>
      <c r="G106" s="22">
        <v>0</v>
      </c>
      <c r="H106" s="22">
        <v>0</v>
      </c>
      <c r="I106" s="22">
        <v>0</v>
      </c>
      <c r="J106" s="6"/>
      <c r="O106" s="50">
        <v>49</v>
      </c>
    </row>
    <row r="107" spans="1:22" ht="15.75" customHeight="1">
      <c r="A107" s="22">
        <v>119</v>
      </c>
      <c r="B107" s="22">
        <v>10401</v>
      </c>
      <c r="C107" s="22" t="s">
        <v>12</v>
      </c>
      <c r="D107" s="22" t="s">
        <v>60</v>
      </c>
      <c r="E107" s="22" t="s">
        <v>61</v>
      </c>
      <c r="F107" s="22">
        <v>1</v>
      </c>
      <c r="G107" s="22">
        <v>0</v>
      </c>
      <c r="H107" s="22">
        <v>0</v>
      </c>
      <c r="I107" s="22">
        <v>1</v>
      </c>
      <c r="J107" s="6"/>
      <c r="O107" s="19">
        <v>49</v>
      </c>
    </row>
    <row r="108" spans="1:22" ht="15.75" customHeight="1">
      <c r="A108" s="22">
        <v>119</v>
      </c>
      <c r="B108" s="22">
        <v>10401</v>
      </c>
      <c r="C108" s="22" t="s">
        <v>12</v>
      </c>
      <c r="D108" s="22" t="s">
        <v>60</v>
      </c>
      <c r="E108" s="22" t="s">
        <v>61</v>
      </c>
      <c r="F108" s="22">
        <v>2</v>
      </c>
      <c r="G108" s="22">
        <v>1</v>
      </c>
      <c r="H108" s="22">
        <v>0</v>
      </c>
      <c r="I108" s="22">
        <v>1</v>
      </c>
      <c r="J108" s="6"/>
      <c r="O108" s="50">
        <v>49</v>
      </c>
    </row>
    <row r="109" spans="1:22" ht="15.75" customHeight="1">
      <c r="A109" s="22">
        <v>119</v>
      </c>
      <c r="B109" s="22">
        <v>10401</v>
      </c>
      <c r="C109" s="22" t="s">
        <v>12</v>
      </c>
      <c r="D109" s="22" t="s">
        <v>60</v>
      </c>
      <c r="E109" s="22" t="s">
        <v>61</v>
      </c>
      <c r="F109" s="22">
        <v>2</v>
      </c>
      <c r="G109" s="22">
        <v>0</v>
      </c>
      <c r="H109" s="22">
        <v>0</v>
      </c>
      <c r="I109" s="22">
        <v>0</v>
      </c>
      <c r="J109" s="6"/>
      <c r="O109" s="19">
        <v>49</v>
      </c>
    </row>
    <row r="110" spans="1:22" ht="15.75" customHeight="1">
      <c r="A110" s="22">
        <v>119</v>
      </c>
      <c r="B110" s="22">
        <v>10401</v>
      </c>
      <c r="C110" s="22" t="s">
        <v>12</v>
      </c>
      <c r="D110" s="22" t="s">
        <v>60</v>
      </c>
      <c r="E110" s="22" t="s">
        <v>61</v>
      </c>
      <c r="F110" s="22">
        <v>1</v>
      </c>
      <c r="G110" s="22">
        <v>0</v>
      </c>
      <c r="H110" s="22">
        <v>0</v>
      </c>
      <c r="I110" s="22">
        <v>0</v>
      </c>
      <c r="J110" s="6"/>
      <c r="O110" s="50">
        <v>49</v>
      </c>
    </row>
    <row r="111" spans="1:22" ht="15.75" customHeight="1">
      <c r="A111" s="22">
        <v>123</v>
      </c>
      <c r="B111" s="22">
        <v>10401</v>
      </c>
      <c r="C111" s="22" t="s">
        <v>12</v>
      </c>
      <c r="D111" s="22" t="s">
        <v>60</v>
      </c>
      <c r="E111" s="22" t="s">
        <v>61</v>
      </c>
      <c r="F111" s="22">
        <v>2</v>
      </c>
      <c r="G111" s="22">
        <v>1</v>
      </c>
      <c r="H111" s="22">
        <v>0</v>
      </c>
      <c r="I111" s="22">
        <v>1</v>
      </c>
      <c r="J111" s="6"/>
      <c r="O111" s="19">
        <v>49</v>
      </c>
    </row>
    <row r="112" spans="1:22" ht="15.75" customHeight="1">
      <c r="A112" s="22">
        <v>123</v>
      </c>
      <c r="B112" s="22">
        <v>10401</v>
      </c>
      <c r="C112" s="22" t="s">
        <v>12</v>
      </c>
      <c r="D112" s="22" t="s">
        <v>60</v>
      </c>
      <c r="E112" s="22" t="s">
        <v>61</v>
      </c>
      <c r="F112" s="22">
        <v>2</v>
      </c>
      <c r="G112" s="22">
        <v>0</v>
      </c>
      <c r="H112" s="22">
        <v>0</v>
      </c>
      <c r="I112" s="22">
        <v>0</v>
      </c>
      <c r="J112" s="6"/>
      <c r="O112" s="50">
        <v>49</v>
      </c>
    </row>
    <row r="113" spans="1:15" ht="15.75" customHeight="1">
      <c r="A113" s="22">
        <v>123</v>
      </c>
      <c r="B113" s="22">
        <v>10401</v>
      </c>
      <c r="C113" s="22" t="s">
        <v>12</v>
      </c>
      <c r="D113" s="22" t="s">
        <v>60</v>
      </c>
      <c r="E113" s="22" t="s">
        <v>61</v>
      </c>
      <c r="F113" s="22">
        <v>1</v>
      </c>
      <c r="G113" s="22">
        <v>0</v>
      </c>
      <c r="H113" s="22">
        <v>0</v>
      </c>
      <c r="I113" s="22">
        <v>0</v>
      </c>
      <c r="J113" s="6"/>
      <c r="O113" s="19">
        <v>49</v>
      </c>
    </row>
    <row r="114" spans="1:15" ht="15.75" customHeight="1">
      <c r="A114" s="22">
        <v>132</v>
      </c>
      <c r="B114" s="22">
        <v>60801</v>
      </c>
      <c r="C114" s="22" t="s">
        <v>48</v>
      </c>
      <c r="D114" s="22" t="s">
        <v>62</v>
      </c>
      <c r="E114" s="22" t="s">
        <v>62</v>
      </c>
      <c r="F114" s="22">
        <v>2</v>
      </c>
      <c r="G114" s="22">
        <v>1</v>
      </c>
      <c r="H114" s="22">
        <v>0</v>
      </c>
      <c r="I114" s="22">
        <v>1</v>
      </c>
      <c r="J114" s="6"/>
      <c r="O114" s="50">
        <v>49</v>
      </c>
    </row>
    <row r="115" spans="1:15" ht="15.75" customHeight="1">
      <c r="A115" s="22">
        <v>132</v>
      </c>
      <c r="B115" s="22">
        <v>60801</v>
      </c>
      <c r="C115" s="22" t="s">
        <v>48</v>
      </c>
      <c r="D115" s="22" t="s">
        <v>62</v>
      </c>
      <c r="E115" s="22" t="s">
        <v>62</v>
      </c>
      <c r="F115" s="22">
        <v>1</v>
      </c>
      <c r="G115" s="22">
        <v>0</v>
      </c>
      <c r="H115" s="22">
        <v>0</v>
      </c>
      <c r="I115" s="22">
        <v>0</v>
      </c>
      <c r="J115" s="6"/>
      <c r="O115" s="19">
        <v>49</v>
      </c>
    </row>
    <row r="116" spans="1:15" ht="15.75" customHeight="1">
      <c r="A116" s="22">
        <v>132</v>
      </c>
      <c r="B116" s="22">
        <v>60801</v>
      </c>
      <c r="C116" s="22" t="s">
        <v>48</v>
      </c>
      <c r="D116" s="22" t="s">
        <v>62</v>
      </c>
      <c r="E116" s="22" t="s">
        <v>62</v>
      </c>
      <c r="F116" s="22">
        <v>1</v>
      </c>
      <c r="G116" s="22">
        <v>0</v>
      </c>
      <c r="H116" s="22">
        <v>0</v>
      </c>
      <c r="I116" s="22">
        <v>1</v>
      </c>
      <c r="J116" s="6"/>
      <c r="O116" s="50">
        <v>49</v>
      </c>
    </row>
    <row r="117" spans="1:15" ht="15.75" customHeight="1">
      <c r="A117" s="22">
        <v>132</v>
      </c>
      <c r="B117" s="22">
        <v>60801</v>
      </c>
      <c r="C117" s="22" t="s">
        <v>48</v>
      </c>
      <c r="D117" s="22" t="s">
        <v>62</v>
      </c>
      <c r="E117" s="22" t="s">
        <v>62</v>
      </c>
      <c r="F117" s="22">
        <v>1</v>
      </c>
      <c r="G117" s="22">
        <v>0</v>
      </c>
      <c r="H117" s="22">
        <v>0</v>
      </c>
      <c r="I117" s="22">
        <v>0</v>
      </c>
      <c r="J117" s="6"/>
      <c r="O117" s="19">
        <v>49</v>
      </c>
    </row>
    <row r="118" spans="1:15" ht="15.75" customHeight="1">
      <c r="A118" s="22">
        <v>132</v>
      </c>
      <c r="B118" s="22">
        <v>60801</v>
      </c>
      <c r="C118" s="22" t="s">
        <v>48</v>
      </c>
      <c r="D118" s="22" t="s">
        <v>62</v>
      </c>
      <c r="E118" s="22" t="s">
        <v>62</v>
      </c>
      <c r="F118" s="22">
        <v>1</v>
      </c>
      <c r="G118" s="22">
        <v>0</v>
      </c>
      <c r="H118" s="22">
        <v>0</v>
      </c>
      <c r="I118" s="22">
        <v>0</v>
      </c>
      <c r="J118" s="6"/>
      <c r="O118" s="50">
        <v>49</v>
      </c>
    </row>
    <row r="119" spans="1:15" ht="15.75" customHeight="1">
      <c r="A119" s="22">
        <v>227</v>
      </c>
      <c r="B119" s="22">
        <v>220803</v>
      </c>
      <c r="C119" s="22" t="s">
        <v>33</v>
      </c>
      <c r="D119" s="22" t="s">
        <v>63</v>
      </c>
      <c r="E119" s="22" t="s">
        <v>64</v>
      </c>
      <c r="F119" s="22">
        <v>2</v>
      </c>
      <c r="G119" s="22">
        <v>1</v>
      </c>
      <c r="H119" s="22">
        <v>0</v>
      </c>
      <c r="I119" s="22">
        <v>1</v>
      </c>
      <c r="J119" s="6"/>
      <c r="O119" s="19">
        <v>49</v>
      </c>
    </row>
    <row r="120" spans="1:15" ht="15.75" customHeight="1">
      <c r="A120" s="22">
        <v>227</v>
      </c>
      <c r="B120" s="22">
        <v>220803</v>
      </c>
      <c r="C120" s="22" t="s">
        <v>33</v>
      </c>
      <c r="D120" s="22" t="s">
        <v>63</v>
      </c>
      <c r="E120" s="22" t="s">
        <v>64</v>
      </c>
      <c r="F120" s="22">
        <v>2</v>
      </c>
      <c r="G120" s="22">
        <v>0</v>
      </c>
      <c r="H120" s="22">
        <v>0</v>
      </c>
      <c r="I120" s="22">
        <v>0</v>
      </c>
      <c r="J120" s="6"/>
      <c r="O120" s="50">
        <v>49</v>
      </c>
    </row>
    <row r="121" spans="1:15" ht="15.75" customHeight="1">
      <c r="A121" s="22">
        <v>227</v>
      </c>
      <c r="B121" s="22">
        <v>220803</v>
      </c>
      <c r="C121" s="22" t="s">
        <v>33</v>
      </c>
      <c r="D121" s="22" t="s">
        <v>63</v>
      </c>
      <c r="E121" s="22" t="s">
        <v>64</v>
      </c>
      <c r="F121" s="22">
        <v>2</v>
      </c>
      <c r="G121" s="22">
        <v>0</v>
      </c>
      <c r="H121" s="22">
        <v>0</v>
      </c>
      <c r="I121" s="22">
        <v>0</v>
      </c>
      <c r="J121" s="6"/>
      <c r="O121" s="19">
        <v>49</v>
      </c>
    </row>
    <row r="122" spans="1:15" ht="15.75" customHeight="1">
      <c r="A122" s="22">
        <v>227</v>
      </c>
      <c r="B122" s="22">
        <v>220803</v>
      </c>
      <c r="C122" s="22" t="s">
        <v>33</v>
      </c>
      <c r="D122" s="22" t="s">
        <v>63</v>
      </c>
      <c r="E122" s="22" t="s">
        <v>64</v>
      </c>
      <c r="F122" s="22">
        <v>1</v>
      </c>
      <c r="G122" s="22">
        <v>0</v>
      </c>
      <c r="H122" s="22">
        <v>0</v>
      </c>
      <c r="I122" s="22">
        <v>1</v>
      </c>
      <c r="J122" s="6"/>
      <c r="O122" s="50">
        <v>49</v>
      </c>
    </row>
    <row r="123" spans="1:15" ht="15.75" customHeight="1">
      <c r="A123" s="22">
        <v>227</v>
      </c>
      <c r="B123" s="22">
        <v>220803</v>
      </c>
      <c r="C123" s="22" t="s">
        <v>33</v>
      </c>
      <c r="D123" s="22" t="s">
        <v>63</v>
      </c>
      <c r="E123" s="22" t="s">
        <v>64</v>
      </c>
      <c r="F123" s="22">
        <v>1</v>
      </c>
      <c r="G123" s="22">
        <v>0</v>
      </c>
      <c r="H123" s="22">
        <v>0</v>
      </c>
      <c r="I123" s="22">
        <v>0</v>
      </c>
      <c r="J123" s="6"/>
      <c r="O123" s="19">
        <v>49</v>
      </c>
    </row>
    <row r="124" spans="1:15" ht="15.75" customHeight="1">
      <c r="A124" s="22">
        <v>227</v>
      </c>
      <c r="B124" s="22">
        <v>220803</v>
      </c>
      <c r="C124" s="22" t="s">
        <v>33</v>
      </c>
      <c r="D124" s="22" t="s">
        <v>63</v>
      </c>
      <c r="E124" s="22" t="s">
        <v>64</v>
      </c>
      <c r="F124" s="22">
        <v>1</v>
      </c>
      <c r="G124" s="22">
        <v>0</v>
      </c>
      <c r="H124" s="22">
        <v>0</v>
      </c>
      <c r="I124" s="22">
        <v>0</v>
      </c>
      <c r="J124" s="6"/>
      <c r="O124" s="50">
        <v>49</v>
      </c>
    </row>
    <row r="125" spans="1:15" ht="15.75" customHeight="1">
      <c r="A125" s="22">
        <v>234</v>
      </c>
      <c r="B125" s="22">
        <v>220803</v>
      </c>
      <c r="C125" s="22" t="s">
        <v>33</v>
      </c>
      <c r="D125" s="22" t="s">
        <v>63</v>
      </c>
      <c r="E125" s="22" t="s">
        <v>64</v>
      </c>
      <c r="F125" s="22">
        <v>2</v>
      </c>
      <c r="G125" s="22">
        <v>1</v>
      </c>
      <c r="H125" s="22">
        <v>0</v>
      </c>
      <c r="I125" s="22">
        <v>1</v>
      </c>
      <c r="J125" s="6"/>
      <c r="O125" s="19">
        <v>49</v>
      </c>
    </row>
    <row r="126" spans="1:15" ht="15.75" customHeight="1">
      <c r="A126" s="22">
        <v>234</v>
      </c>
      <c r="B126" s="22">
        <v>220803</v>
      </c>
      <c r="C126" s="22" t="s">
        <v>33</v>
      </c>
      <c r="D126" s="22" t="s">
        <v>63</v>
      </c>
      <c r="E126" s="22" t="s">
        <v>64</v>
      </c>
      <c r="F126" s="22">
        <v>1</v>
      </c>
      <c r="G126" s="22">
        <v>0</v>
      </c>
      <c r="H126" s="22">
        <v>0</v>
      </c>
      <c r="I126" s="22">
        <v>1</v>
      </c>
      <c r="J126" s="6"/>
      <c r="O126" s="50">
        <v>49</v>
      </c>
    </row>
    <row r="127" spans="1:15" ht="15.75" customHeight="1">
      <c r="A127" s="22">
        <v>234</v>
      </c>
      <c r="B127" s="22">
        <v>220803</v>
      </c>
      <c r="C127" s="22" t="s">
        <v>33</v>
      </c>
      <c r="D127" s="22" t="s">
        <v>63</v>
      </c>
      <c r="E127" s="22" t="s">
        <v>64</v>
      </c>
      <c r="F127" s="22">
        <v>2</v>
      </c>
      <c r="G127" s="22">
        <v>0</v>
      </c>
      <c r="H127" s="22">
        <v>0</v>
      </c>
      <c r="I127" s="22">
        <v>1</v>
      </c>
      <c r="J127" s="6"/>
      <c r="O127" s="19">
        <v>49</v>
      </c>
    </row>
    <row r="128" spans="1:15" ht="15.75" customHeight="1">
      <c r="A128" s="22">
        <v>234</v>
      </c>
      <c r="B128" s="22">
        <v>220803</v>
      </c>
      <c r="C128" s="22" t="s">
        <v>33</v>
      </c>
      <c r="D128" s="22" t="s">
        <v>63</v>
      </c>
      <c r="E128" s="22" t="s">
        <v>64</v>
      </c>
      <c r="F128" s="22">
        <v>2</v>
      </c>
      <c r="G128" s="22">
        <v>0</v>
      </c>
      <c r="H128" s="22">
        <v>0</v>
      </c>
      <c r="I128" s="22">
        <v>0</v>
      </c>
      <c r="J128" s="6"/>
      <c r="O128" s="50">
        <v>49</v>
      </c>
    </row>
    <row r="129" spans="1:15" ht="15.75" customHeight="1">
      <c r="A129" s="22">
        <v>244</v>
      </c>
      <c r="B129" s="22">
        <v>160605</v>
      </c>
      <c r="C129" s="22" t="s">
        <v>57</v>
      </c>
      <c r="D129" s="22" t="s">
        <v>65</v>
      </c>
      <c r="E129" s="22" t="s">
        <v>66</v>
      </c>
      <c r="F129" s="22">
        <v>2</v>
      </c>
      <c r="G129" s="22">
        <v>1</v>
      </c>
      <c r="H129" s="22">
        <v>0</v>
      </c>
      <c r="I129" s="22">
        <v>1</v>
      </c>
      <c r="J129" s="6"/>
      <c r="O129" s="19">
        <v>49</v>
      </c>
    </row>
    <row r="130" spans="1:15" ht="15.75" customHeight="1">
      <c r="A130" s="22">
        <v>244</v>
      </c>
      <c r="B130" s="22">
        <v>160605</v>
      </c>
      <c r="C130" s="22" t="s">
        <v>57</v>
      </c>
      <c r="D130" s="22" t="s">
        <v>65</v>
      </c>
      <c r="E130" s="22" t="s">
        <v>66</v>
      </c>
      <c r="F130" s="22">
        <v>1</v>
      </c>
      <c r="G130" s="22">
        <v>0</v>
      </c>
      <c r="H130" s="22">
        <v>0</v>
      </c>
      <c r="I130" s="22">
        <v>0</v>
      </c>
      <c r="J130" s="6"/>
      <c r="O130" s="50">
        <v>5</v>
      </c>
    </row>
    <row r="131" spans="1:15" ht="15.75" customHeight="1">
      <c r="A131" s="22">
        <v>244</v>
      </c>
      <c r="B131" s="22">
        <v>160605</v>
      </c>
      <c r="C131" s="22" t="s">
        <v>57</v>
      </c>
      <c r="D131" s="22" t="s">
        <v>65</v>
      </c>
      <c r="E131" s="22" t="s">
        <v>66</v>
      </c>
      <c r="F131" s="22">
        <v>1</v>
      </c>
      <c r="G131" s="22">
        <v>0</v>
      </c>
      <c r="H131" s="22">
        <v>0</v>
      </c>
      <c r="I131" s="22">
        <v>1</v>
      </c>
      <c r="J131" s="6"/>
      <c r="O131" s="50">
        <v>5</v>
      </c>
    </row>
    <row r="132" spans="1:15" ht="15.75" customHeight="1">
      <c r="A132" s="22">
        <v>244</v>
      </c>
      <c r="B132" s="22">
        <v>160605</v>
      </c>
      <c r="C132" s="22" t="s">
        <v>57</v>
      </c>
      <c r="D132" s="22" t="s">
        <v>65</v>
      </c>
      <c r="E132" s="22" t="s">
        <v>66</v>
      </c>
      <c r="F132" s="22">
        <v>2</v>
      </c>
      <c r="G132" s="22">
        <v>0</v>
      </c>
      <c r="H132" s="22">
        <v>0</v>
      </c>
      <c r="I132" s="22">
        <v>0</v>
      </c>
      <c r="J132" s="6"/>
      <c r="O132" s="50">
        <v>5</v>
      </c>
    </row>
    <row r="133" spans="1:15" ht="15.75" customHeight="1">
      <c r="A133" s="22">
        <v>252</v>
      </c>
      <c r="B133" s="22">
        <v>150132</v>
      </c>
      <c r="C133" s="22" t="s">
        <v>45</v>
      </c>
      <c r="D133" s="22" t="s">
        <v>45</v>
      </c>
      <c r="E133" s="22" t="s">
        <v>67</v>
      </c>
      <c r="F133" s="22">
        <v>1</v>
      </c>
      <c r="G133" s="22">
        <v>0</v>
      </c>
      <c r="H133" s="22">
        <v>0</v>
      </c>
      <c r="I133" s="22">
        <v>1</v>
      </c>
      <c r="J133" s="6"/>
      <c r="O133" s="50">
        <v>5</v>
      </c>
    </row>
    <row r="134" spans="1:15" ht="15.75" customHeight="1">
      <c r="A134" s="22">
        <v>252</v>
      </c>
      <c r="B134" s="22">
        <v>150132</v>
      </c>
      <c r="C134" s="22" t="s">
        <v>45</v>
      </c>
      <c r="D134" s="22" t="s">
        <v>45</v>
      </c>
      <c r="E134" s="22" t="s">
        <v>67</v>
      </c>
      <c r="F134" s="22">
        <v>1</v>
      </c>
      <c r="G134" s="22">
        <v>0</v>
      </c>
      <c r="H134" s="22">
        <v>0</v>
      </c>
      <c r="I134" s="22">
        <v>1</v>
      </c>
      <c r="J134" s="6"/>
      <c r="O134" s="50">
        <v>5</v>
      </c>
    </row>
    <row r="135" spans="1:15" ht="15.75" customHeight="1">
      <c r="A135" s="22">
        <v>252</v>
      </c>
      <c r="B135" s="22">
        <v>150132</v>
      </c>
      <c r="C135" s="22" t="s">
        <v>45</v>
      </c>
      <c r="D135" s="22" t="s">
        <v>45</v>
      </c>
      <c r="E135" s="22" t="s">
        <v>67</v>
      </c>
      <c r="F135" s="22">
        <v>2</v>
      </c>
      <c r="G135" s="22">
        <v>0</v>
      </c>
      <c r="H135" s="22">
        <v>0</v>
      </c>
      <c r="I135" s="22">
        <v>0</v>
      </c>
      <c r="J135" s="6"/>
      <c r="O135" s="50">
        <v>4</v>
      </c>
    </row>
    <row r="136" spans="1:15" ht="15.75" customHeight="1">
      <c r="A136" s="22">
        <v>252</v>
      </c>
      <c r="B136" s="22">
        <v>150132</v>
      </c>
      <c r="C136" s="22" t="s">
        <v>45</v>
      </c>
      <c r="D136" s="22" t="s">
        <v>45</v>
      </c>
      <c r="E136" s="22" t="s">
        <v>67</v>
      </c>
      <c r="F136" s="22">
        <v>2</v>
      </c>
      <c r="G136" s="22">
        <v>1</v>
      </c>
      <c r="H136" s="22">
        <v>0</v>
      </c>
      <c r="I136" s="22">
        <v>1</v>
      </c>
      <c r="J136" s="6"/>
      <c r="O136" s="50">
        <v>4</v>
      </c>
    </row>
    <row r="137" spans="1:15" ht="15.75" customHeight="1">
      <c r="A137" s="22">
        <v>305</v>
      </c>
      <c r="B137" s="22">
        <v>20110</v>
      </c>
      <c r="C137" s="22" t="s">
        <v>44</v>
      </c>
      <c r="D137" s="22" t="s">
        <v>68</v>
      </c>
      <c r="E137" s="22" t="s">
        <v>69</v>
      </c>
      <c r="F137" s="22">
        <v>1</v>
      </c>
      <c r="G137" s="22">
        <v>0</v>
      </c>
      <c r="H137" s="22">
        <v>0</v>
      </c>
      <c r="I137" s="22">
        <v>1</v>
      </c>
      <c r="J137" s="6"/>
      <c r="O137" s="50">
        <v>4</v>
      </c>
    </row>
    <row r="138" spans="1:15" ht="15.75" customHeight="1">
      <c r="A138" s="22">
        <v>305</v>
      </c>
      <c r="B138" s="22">
        <v>20110</v>
      </c>
      <c r="C138" s="22" t="s">
        <v>44</v>
      </c>
      <c r="D138" s="22" t="s">
        <v>68</v>
      </c>
      <c r="E138" s="22" t="s">
        <v>69</v>
      </c>
      <c r="F138" s="22">
        <v>2</v>
      </c>
      <c r="G138" s="22">
        <v>0</v>
      </c>
      <c r="H138" s="22">
        <v>0</v>
      </c>
      <c r="I138" s="22">
        <v>0</v>
      </c>
      <c r="J138" s="6"/>
      <c r="O138" s="50">
        <v>4</v>
      </c>
    </row>
    <row r="139" spans="1:15" ht="15.75" customHeight="1">
      <c r="A139" s="22">
        <v>305</v>
      </c>
      <c r="B139" s="22">
        <v>20110</v>
      </c>
      <c r="C139" s="22" t="s">
        <v>44</v>
      </c>
      <c r="D139" s="22" t="s">
        <v>68</v>
      </c>
      <c r="E139" s="22" t="s">
        <v>69</v>
      </c>
      <c r="F139" s="22">
        <v>2</v>
      </c>
      <c r="G139" s="22">
        <v>1</v>
      </c>
      <c r="H139" s="22">
        <v>0</v>
      </c>
      <c r="I139" s="22">
        <v>1</v>
      </c>
      <c r="J139" s="6"/>
      <c r="O139" s="50">
        <v>10</v>
      </c>
    </row>
    <row r="140" spans="1:15" ht="15.75" customHeight="1">
      <c r="A140" s="22">
        <v>305</v>
      </c>
      <c r="B140" s="22">
        <v>20110</v>
      </c>
      <c r="C140" s="22" t="s">
        <v>44</v>
      </c>
      <c r="D140" s="22" t="s">
        <v>68</v>
      </c>
      <c r="E140" s="22" t="s">
        <v>69</v>
      </c>
      <c r="F140" s="22">
        <v>1</v>
      </c>
      <c r="G140" s="22">
        <v>0</v>
      </c>
      <c r="H140" s="22">
        <v>0</v>
      </c>
      <c r="I140" s="22">
        <v>0</v>
      </c>
      <c r="J140" s="6"/>
      <c r="O140" s="50">
        <v>10</v>
      </c>
    </row>
    <row r="141" spans="1:15" ht="15.75" customHeight="1">
      <c r="A141" s="22">
        <v>305</v>
      </c>
      <c r="B141" s="22">
        <v>20110</v>
      </c>
      <c r="C141" s="22" t="s">
        <v>44</v>
      </c>
      <c r="D141" s="22" t="s">
        <v>68</v>
      </c>
      <c r="E141" s="22" t="s">
        <v>69</v>
      </c>
      <c r="F141" s="22">
        <v>2</v>
      </c>
      <c r="G141" s="22">
        <v>0</v>
      </c>
      <c r="H141" s="22">
        <v>0</v>
      </c>
      <c r="I141" s="22">
        <v>0</v>
      </c>
      <c r="J141" s="6"/>
      <c r="O141" s="50">
        <v>10</v>
      </c>
    </row>
    <row r="142" spans="1:15" ht="15.75" customHeight="1">
      <c r="A142" s="22">
        <v>305</v>
      </c>
      <c r="B142" s="22">
        <v>20110</v>
      </c>
      <c r="C142" s="22" t="s">
        <v>44</v>
      </c>
      <c r="D142" s="22" t="s">
        <v>68</v>
      </c>
      <c r="E142" s="22" t="s">
        <v>69</v>
      </c>
      <c r="F142" s="22">
        <v>1</v>
      </c>
      <c r="G142" s="22">
        <v>0</v>
      </c>
      <c r="H142" s="22">
        <v>0</v>
      </c>
      <c r="I142" s="22">
        <v>0</v>
      </c>
      <c r="J142" s="6"/>
      <c r="O142" s="50">
        <v>10</v>
      </c>
    </row>
    <row r="143" spans="1:15" ht="15.75" customHeight="1">
      <c r="A143" s="22">
        <v>310</v>
      </c>
      <c r="B143" s="22">
        <v>20110</v>
      </c>
      <c r="C143" s="22" t="s">
        <v>44</v>
      </c>
      <c r="D143" s="22" t="s">
        <v>68</v>
      </c>
      <c r="E143" s="22" t="s">
        <v>69</v>
      </c>
      <c r="F143" s="22">
        <v>2</v>
      </c>
      <c r="G143" s="22">
        <v>0</v>
      </c>
      <c r="H143" s="22">
        <v>0</v>
      </c>
      <c r="I143" s="22">
        <v>0</v>
      </c>
      <c r="J143" s="6"/>
      <c r="O143" s="50">
        <v>10</v>
      </c>
    </row>
    <row r="144" spans="1:15" ht="15.75" customHeight="1">
      <c r="A144" s="22">
        <v>310</v>
      </c>
      <c r="B144" s="22">
        <v>20110</v>
      </c>
      <c r="C144" s="22" t="s">
        <v>44</v>
      </c>
      <c r="D144" s="22" t="s">
        <v>68</v>
      </c>
      <c r="E144" s="22" t="s">
        <v>69</v>
      </c>
      <c r="F144" s="22">
        <v>2</v>
      </c>
      <c r="G144" s="22">
        <v>1</v>
      </c>
      <c r="H144" s="22">
        <v>0</v>
      </c>
      <c r="I144" s="22">
        <v>1</v>
      </c>
      <c r="J144" s="6"/>
      <c r="O144" s="50">
        <v>10</v>
      </c>
    </row>
    <row r="145" spans="1:15" ht="15.75" customHeight="1">
      <c r="A145" s="22">
        <v>310</v>
      </c>
      <c r="B145" s="22">
        <v>20110</v>
      </c>
      <c r="C145" s="22" t="s">
        <v>44</v>
      </c>
      <c r="D145" s="22" t="s">
        <v>68</v>
      </c>
      <c r="E145" s="22" t="s">
        <v>69</v>
      </c>
      <c r="F145" s="22">
        <v>1</v>
      </c>
      <c r="G145" s="22">
        <v>0</v>
      </c>
      <c r="H145" s="22">
        <v>0</v>
      </c>
      <c r="I145" s="22">
        <v>1</v>
      </c>
      <c r="J145" s="6"/>
      <c r="O145" s="50">
        <v>10</v>
      </c>
    </row>
    <row r="146" spans="1:15" ht="15.75" customHeight="1">
      <c r="A146" s="22">
        <v>310</v>
      </c>
      <c r="B146" s="22">
        <v>20110</v>
      </c>
      <c r="C146" s="22" t="s">
        <v>44</v>
      </c>
      <c r="D146" s="22" t="s">
        <v>68</v>
      </c>
      <c r="E146" s="22" t="s">
        <v>69</v>
      </c>
      <c r="F146" s="22">
        <v>2</v>
      </c>
      <c r="G146" s="22">
        <v>0</v>
      </c>
      <c r="H146" s="22">
        <v>0</v>
      </c>
      <c r="I146" s="22">
        <v>0</v>
      </c>
      <c r="J146" s="6"/>
      <c r="O146" s="50">
        <v>10</v>
      </c>
    </row>
    <row r="147" spans="1:15" ht="15.75" customHeight="1">
      <c r="A147" s="22">
        <v>315</v>
      </c>
      <c r="B147" s="22">
        <v>20302</v>
      </c>
      <c r="C147" s="22" t="s">
        <v>44</v>
      </c>
      <c r="D147" s="22" t="s">
        <v>70</v>
      </c>
      <c r="E147" s="22" t="s">
        <v>71</v>
      </c>
      <c r="F147" s="22">
        <v>1</v>
      </c>
      <c r="G147" s="22">
        <v>0</v>
      </c>
      <c r="H147" s="22">
        <v>0</v>
      </c>
      <c r="I147" s="22">
        <v>1</v>
      </c>
      <c r="J147" s="6"/>
      <c r="O147" s="50">
        <v>10</v>
      </c>
    </row>
    <row r="148" spans="1:15" ht="15.75" customHeight="1">
      <c r="A148" s="22">
        <v>315</v>
      </c>
      <c r="B148" s="22">
        <v>20302</v>
      </c>
      <c r="C148" s="22" t="s">
        <v>44</v>
      </c>
      <c r="D148" s="22" t="s">
        <v>70</v>
      </c>
      <c r="E148" s="22" t="s">
        <v>71</v>
      </c>
      <c r="F148" s="22">
        <v>2</v>
      </c>
      <c r="G148" s="22">
        <v>0</v>
      </c>
      <c r="H148" s="22">
        <v>0</v>
      </c>
      <c r="I148" s="22">
        <v>0</v>
      </c>
      <c r="J148" s="6"/>
      <c r="O148" s="50">
        <v>10</v>
      </c>
    </row>
    <row r="149" spans="1:15" ht="15.75" customHeight="1">
      <c r="A149" s="22">
        <v>315</v>
      </c>
      <c r="B149" s="22">
        <v>20302</v>
      </c>
      <c r="C149" s="22" t="s">
        <v>44</v>
      </c>
      <c r="D149" s="22" t="s">
        <v>70</v>
      </c>
      <c r="E149" s="22" t="s">
        <v>71</v>
      </c>
      <c r="F149" s="22">
        <v>2</v>
      </c>
      <c r="G149" s="22">
        <v>1</v>
      </c>
      <c r="H149" s="22">
        <v>0</v>
      </c>
      <c r="I149" s="22">
        <v>1</v>
      </c>
      <c r="J149" s="6"/>
      <c r="O149" s="50">
        <v>8</v>
      </c>
    </row>
    <row r="150" spans="1:15" ht="15.75" customHeight="1">
      <c r="A150" s="22">
        <v>316</v>
      </c>
      <c r="B150" s="22">
        <v>20302</v>
      </c>
      <c r="C150" s="22" t="s">
        <v>44</v>
      </c>
      <c r="D150" s="22" t="s">
        <v>70</v>
      </c>
      <c r="E150" s="22" t="s">
        <v>71</v>
      </c>
      <c r="F150" s="22">
        <v>2</v>
      </c>
      <c r="G150" s="22">
        <v>1</v>
      </c>
      <c r="H150" s="22">
        <v>0</v>
      </c>
      <c r="I150" s="22">
        <v>1</v>
      </c>
      <c r="J150" s="6"/>
      <c r="O150" s="50">
        <v>2</v>
      </c>
    </row>
    <row r="151" spans="1:15" ht="15.75" customHeight="1">
      <c r="A151" s="22">
        <v>316</v>
      </c>
      <c r="B151" s="22">
        <v>20302</v>
      </c>
      <c r="C151" s="22" t="s">
        <v>44</v>
      </c>
      <c r="D151" s="22" t="s">
        <v>70</v>
      </c>
      <c r="E151" s="22" t="s">
        <v>71</v>
      </c>
      <c r="F151" s="22">
        <v>2</v>
      </c>
      <c r="G151" s="22">
        <v>0</v>
      </c>
      <c r="H151" s="22">
        <v>0</v>
      </c>
      <c r="I151" s="22">
        <v>0</v>
      </c>
      <c r="J151" s="6"/>
      <c r="O151" s="50">
        <v>6</v>
      </c>
    </row>
    <row r="152" spans="1:15" ht="15.75" customHeight="1">
      <c r="A152" s="22">
        <v>316</v>
      </c>
      <c r="B152" s="22">
        <v>20302</v>
      </c>
      <c r="C152" s="22" t="s">
        <v>44</v>
      </c>
      <c r="D152" s="22" t="s">
        <v>70</v>
      </c>
      <c r="E152" s="22" t="s">
        <v>71</v>
      </c>
      <c r="F152" s="22">
        <v>1</v>
      </c>
      <c r="G152" s="22">
        <v>0</v>
      </c>
      <c r="H152" s="22">
        <v>0</v>
      </c>
      <c r="I152" s="22">
        <v>1</v>
      </c>
      <c r="J152" s="6"/>
      <c r="O152" s="50">
        <v>6</v>
      </c>
    </row>
    <row r="153" spans="1:15" ht="15.75" customHeight="1">
      <c r="A153" s="22">
        <v>316</v>
      </c>
      <c r="B153" s="22">
        <v>20302</v>
      </c>
      <c r="C153" s="22" t="s">
        <v>44</v>
      </c>
      <c r="D153" s="22" t="s">
        <v>70</v>
      </c>
      <c r="E153" s="22" t="s">
        <v>71</v>
      </c>
      <c r="F153" s="22">
        <v>1</v>
      </c>
      <c r="G153" s="22">
        <v>0</v>
      </c>
      <c r="H153" s="22">
        <v>0</v>
      </c>
      <c r="I153" s="22">
        <v>0</v>
      </c>
      <c r="J153" s="6"/>
      <c r="O153" s="50">
        <v>6</v>
      </c>
    </row>
    <row r="154" spans="1:15" ht="15.75" customHeight="1">
      <c r="A154" s="22">
        <v>316</v>
      </c>
      <c r="B154" s="22">
        <v>20302</v>
      </c>
      <c r="C154" s="22" t="s">
        <v>44</v>
      </c>
      <c r="D154" s="22" t="s">
        <v>70</v>
      </c>
      <c r="E154" s="22" t="s">
        <v>71</v>
      </c>
      <c r="F154" s="22">
        <v>1</v>
      </c>
      <c r="G154" s="22">
        <v>0</v>
      </c>
      <c r="H154" s="22">
        <v>1</v>
      </c>
      <c r="I154" s="22">
        <v>0</v>
      </c>
      <c r="J154" s="6"/>
      <c r="O154" s="50">
        <v>6</v>
      </c>
    </row>
    <row r="155" spans="1:15" ht="15.75" customHeight="1">
      <c r="A155" s="22">
        <v>1010</v>
      </c>
      <c r="B155" s="22">
        <v>80105</v>
      </c>
      <c r="C155" s="22" t="s">
        <v>42</v>
      </c>
      <c r="D155" s="22" t="s">
        <v>42</v>
      </c>
      <c r="E155" s="22" t="s">
        <v>72</v>
      </c>
      <c r="F155" s="22">
        <v>2</v>
      </c>
      <c r="G155" s="22">
        <v>1</v>
      </c>
      <c r="H155" s="22">
        <v>0</v>
      </c>
      <c r="I155" s="22">
        <v>1</v>
      </c>
      <c r="J155" s="6"/>
      <c r="O155" s="50">
        <v>6</v>
      </c>
    </row>
    <row r="156" spans="1:15" ht="15.75" customHeight="1">
      <c r="A156" s="22">
        <v>1010</v>
      </c>
      <c r="B156" s="22">
        <v>80105</v>
      </c>
      <c r="C156" s="22" t="s">
        <v>42</v>
      </c>
      <c r="D156" s="22" t="s">
        <v>42</v>
      </c>
      <c r="E156" s="22" t="s">
        <v>72</v>
      </c>
      <c r="F156" s="22">
        <v>1</v>
      </c>
      <c r="G156" s="22">
        <v>0</v>
      </c>
      <c r="H156" s="22">
        <v>0</v>
      </c>
      <c r="I156" s="22">
        <v>0</v>
      </c>
      <c r="J156" s="6"/>
      <c r="O156" s="50">
        <v>6</v>
      </c>
    </row>
    <row r="157" spans="1:15" ht="15.75" customHeight="1">
      <c r="A157" s="22">
        <v>1017</v>
      </c>
      <c r="B157" s="22">
        <v>110108</v>
      </c>
      <c r="C157" s="22" t="s">
        <v>43</v>
      </c>
      <c r="D157" s="22" t="s">
        <v>43</v>
      </c>
      <c r="E157" s="22" t="s">
        <v>73</v>
      </c>
      <c r="F157" s="22">
        <v>2</v>
      </c>
      <c r="G157" s="22">
        <v>1</v>
      </c>
      <c r="H157" s="22">
        <v>0</v>
      </c>
      <c r="I157" s="22">
        <v>1</v>
      </c>
      <c r="J157" s="6"/>
      <c r="O157" s="50">
        <v>2</v>
      </c>
    </row>
    <row r="158" spans="1:15" ht="15.75" customHeight="1">
      <c r="A158" s="22">
        <v>1017</v>
      </c>
      <c r="B158" s="22">
        <v>110108</v>
      </c>
      <c r="C158" s="22" t="s">
        <v>43</v>
      </c>
      <c r="D158" s="22" t="s">
        <v>43</v>
      </c>
      <c r="E158" s="22" t="s">
        <v>73</v>
      </c>
      <c r="F158" s="22">
        <v>1</v>
      </c>
      <c r="G158" s="22">
        <v>0</v>
      </c>
      <c r="H158" s="22">
        <v>0</v>
      </c>
      <c r="I158" s="22">
        <v>1</v>
      </c>
      <c r="J158" s="6"/>
      <c r="O158" s="50">
        <v>8</v>
      </c>
    </row>
    <row r="159" spans="1:15" ht="15.75" customHeight="1">
      <c r="A159" s="22">
        <v>1017</v>
      </c>
      <c r="B159" s="22">
        <v>110108</v>
      </c>
      <c r="C159" s="22" t="s">
        <v>43</v>
      </c>
      <c r="D159" s="22" t="s">
        <v>43</v>
      </c>
      <c r="E159" s="22" t="s">
        <v>73</v>
      </c>
      <c r="F159" s="22">
        <v>2</v>
      </c>
      <c r="G159" s="22">
        <v>0</v>
      </c>
      <c r="H159" s="22">
        <v>0</v>
      </c>
      <c r="I159" s="22">
        <v>0</v>
      </c>
      <c r="J159" s="6"/>
      <c r="O159" s="50">
        <v>8</v>
      </c>
    </row>
    <row r="160" spans="1:15" ht="15.75" customHeight="1">
      <c r="A160" s="22">
        <v>1017</v>
      </c>
      <c r="B160" s="22">
        <v>110108</v>
      </c>
      <c r="C160" s="22" t="s">
        <v>43</v>
      </c>
      <c r="D160" s="22" t="s">
        <v>43</v>
      </c>
      <c r="E160" s="22" t="s">
        <v>73</v>
      </c>
      <c r="F160" s="22">
        <v>2</v>
      </c>
      <c r="G160" s="22">
        <v>0</v>
      </c>
      <c r="H160" s="22">
        <v>0</v>
      </c>
      <c r="I160" s="22">
        <v>0</v>
      </c>
      <c r="J160" s="6"/>
      <c r="O160" s="50">
        <v>8</v>
      </c>
    </row>
    <row r="161" spans="1:15" ht="15.75" customHeight="1">
      <c r="A161" s="22">
        <v>1025</v>
      </c>
      <c r="B161" s="22">
        <v>110108</v>
      </c>
      <c r="C161" s="22" t="s">
        <v>43</v>
      </c>
      <c r="D161" s="22" t="s">
        <v>43</v>
      </c>
      <c r="E161" s="22" t="s">
        <v>73</v>
      </c>
      <c r="F161" s="22">
        <v>2</v>
      </c>
      <c r="G161" s="22">
        <v>0</v>
      </c>
      <c r="H161" s="22">
        <v>0</v>
      </c>
      <c r="I161" s="22">
        <v>0</v>
      </c>
      <c r="J161" s="6"/>
      <c r="O161" s="50">
        <v>8</v>
      </c>
    </row>
    <row r="162" spans="1:15" ht="15.75" customHeight="1">
      <c r="A162" s="22">
        <v>1025</v>
      </c>
      <c r="B162" s="22">
        <v>110108</v>
      </c>
      <c r="C162" s="22" t="s">
        <v>43</v>
      </c>
      <c r="D162" s="22" t="s">
        <v>43</v>
      </c>
      <c r="E162" s="22" t="s">
        <v>73</v>
      </c>
      <c r="F162" s="22">
        <v>2</v>
      </c>
      <c r="G162" s="22">
        <v>1</v>
      </c>
      <c r="H162" s="22">
        <v>0</v>
      </c>
      <c r="I162" s="22">
        <v>1</v>
      </c>
      <c r="J162" s="6"/>
      <c r="O162" s="50">
        <v>8</v>
      </c>
    </row>
    <row r="163" spans="1:15" ht="15.75" customHeight="1">
      <c r="A163" s="22">
        <v>1092</v>
      </c>
      <c r="B163" s="22">
        <v>80605</v>
      </c>
      <c r="C163" s="22" t="s">
        <v>42</v>
      </c>
      <c r="D163" s="22" t="s">
        <v>74</v>
      </c>
      <c r="E163" s="22" t="s">
        <v>75</v>
      </c>
      <c r="F163" s="22">
        <v>2</v>
      </c>
      <c r="G163" s="22">
        <v>1</v>
      </c>
      <c r="H163" s="22">
        <v>0</v>
      </c>
      <c r="I163" s="22">
        <v>1</v>
      </c>
      <c r="J163" s="6"/>
      <c r="O163" s="50">
        <v>8</v>
      </c>
    </row>
    <row r="164" spans="1:15" ht="15.75" customHeight="1">
      <c r="A164" s="22">
        <v>1092</v>
      </c>
      <c r="B164" s="22">
        <v>80605</v>
      </c>
      <c r="C164" s="22" t="s">
        <v>42</v>
      </c>
      <c r="D164" s="22" t="s">
        <v>74</v>
      </c>
      <c r="E164" s="22" t="s">
        <v>75</v>
      </c>
      <c r="F164" s="22">
        <v>1</v>
      </c>
      <c r="G164" s="22">
        <v>0</v>
      </c>
      <c r="H164" s="22">
        <v>0</v>
      </c>
      <c r="I164" s="22">
        <v>0</v>
      </c>
      <c r="J164" s="6"/>
      <c r="O164" s="50">
        <v>8</v>
      </c>
    </row>
    <row r="165" spans="1:15" ht="15.75" customHeight="1">
      <c r="A165" s="22">
        <v>1092</v>
      </c>
      <c r="B165" s="22">
        <v>80605</v>
      </c>
      <c r="C165" s="22" t="s">
        <v>42</v>
      </c>
      <c r="D165" s="22" t="s">
        <v>74</v>
      </c>
      <c r="E165" s="22" t="s">
        <v>75</v>
      </c>
      <c r="F165" s="22">
        <v>1</v>
      </c>
      <c r="G165" s="22">
        <v>0</v>
      </c>
      <c r="H165" s="22">
        <v>0</v>
      </c>
      <c r="I165" s="22">
        <v>1</v>
      </c>
      <c r="J165" s="6"/>
      <c r="O165" s="50">
        <v>8</v>
      </c>
    </row>
    <row r="166" spans="1:15" ht="15.75" customHeight="1">
      <c r="A166" s="22">
        <v>1092</v>
      </c>
      <c r="B166" s="22">
        <v>80605</v>
      </c>
      <c r="C166" s="22" t="s">
        <v>42</v>
      </c>
      <c r="D166" s="22" t="s">
        <v>74</v>
      </c>
      <c r="E166" s="22" t="s">
        <v>75</v>
      </c>
      <c r="F166" s="22">
        <v>2</v>
      </c>
      <c r="G166" s="22">
        <v>0</v>
      </c>
      <c r="H166" s="22">
        <v>0</v>
      </c>
      <c r="I166" s="22">
        <v>0</v>
      </c>
      <c r="J166" s="6"/>
      <c r="O166" s="50">
        <v>4</v>
      </c>
    </row>
    <row r="167" spans="1:15" ht="15.75" customHeight="1">
      <c r="A167" s="22">
        <v>1136</v>
      </c>
      <c r="B167" s="22">
        <v>30202</v>
      </c>
      <c r="C167" s="22" t="s">
        <v>41</v>
      </c>
      <c r="D167" s="22" t="s">
        <v>76</v>
      </c>
      <c r="E167" s="22" t="s">
        <v>77</v>
      </c>
      <c r="F167" s="22">
        <v>1</v>
      </c>
      <c r="G167" s="22">
        <v>0</v>
      </c>
      <c r="H167" s="22">
        <v>0</v>
      </c>
      <c r="I167" s="22">
        <v>0</v>
      </c>
      <c r="J167" s="6"/>
      <c r="O167" s="50">
        <v>10</v>
      </c>
    </row>
    <row r="168" spans="1:15" ht="15.75" customHeight="1">
      <c r="A168" s="22">
        <v>1136</v>
      </c>
      <c r="B168" s="22">
        <v>30202</v>
      </c>
      <c r="C168" s="22" t="s">
        <v>41</v>
      </c>
      <c r="D168" s="22" t="s">
        <v>76</v>
      </c>
      <c r="E168" s="22" t="s">
        <v>77</v>
      </c>
      <c r="F168" s="22">
        <v>1</v>
      </c>
      <c r="G168" s="22">
        <v>0</v>
      </c>
      <c r="H168" s="22">
        <v>0</v>
      </c>
      <c r="I168" s="22">
        <v>1</v>
      </c>
      <c r="J168" s="6"/>
      <c r="O168" s="50">
        <v>4</v>
      </c>
    </row>
    <row r="169" spans="1:15" ht="15.75" customHeight="1">
      <c r="A169" s="22">
        <v>1136</v>
      </c>
      <c r="B169" s="22">
        <v>30202</v>
      </c>
      <c r="C169" s="22" t="s">
        <v>41</v>
      </c>
      <c r="D169" s="22" t="s">
        <v>76</v>
      </c>
      <c r="E169" s="22" t="s">
        <v>77</v>
      </c>
      <c r="F169" s="22">
        <v>2</v>
      </c>
      <c r="G169" s="22">
        <v>1</v>
      </c>
      <c r="H169" s="22">
        <v>0</v>
      </c>
      <c r="I169" s="22">
        <v>1</v>
      </c>
      <c r="J169" s="6"/>
      <c r="O169" s="50">
        <v>8</v>
      </c>
    </row>
    <row r="170" spans="1:15" ht="15.75" customHeight="1">
      <c r="A170" s="22">
        <v>1136</v>
      </c>
      <c r="B170" s="22">
        <v>30202</v>
      </c>
      <c r="C170" s="22" t="s">
        <v>41</v>
      </c>
      <c r="D170" s="22" t="s">
        <v>76</v>
      </c>
      <c r="E170" s="22" t="s">
        <v>77</v>
      </c>
      <c r="F170" s="22">
        <v>1</v>
      </c>
      <c r="G170" s="22">
        <v>0</v>
      </c>
      <c r="H170" s="22">
        <v>0</v>
      </c>
      <c r="I170" s="22">
        <v>0</v>
      </c>
      <c r="J170" s="6"/>
      <c r="O170" s="50">
        <v>8</v>
      </c>
    </row>
    <row r="171" spans="1:15" ht="15.75" customHeight="1">
      <c r="A171" s="22">
        <v>1138</v>
      </c>
      <c r="B171" s="22">
        <v>30202</v>
      </c>
      <c r="C171" s="22" t="s">
        <v>41</v>
      </c>
      <c r="D171" s="22" t="s">
        <v>76</v>
      </c>
      <c r="E171" s="22" t="s">
        <v>77</v>
      </c>
      <c r="F171" s="22">
        <v>2</v>
      </c>
      <c r="G171" s="22">
        <v>1</v>
      </c>
      <c r="H171" s="22">
        <v>0</v>
      </c>
      <c r="I171" s="22">
        <v>1</v>
      </c>
      <c r="J171" s="6"/>
      <c r="O171" s="50">
        <v>8</v>
      </c>
    </row>
    <row r="172" spans="1:15" ht="15.75" customHeight="1">
      <c r="A172" s="22">
        <v>1138</v>
      </c>
      <c r="B172" s="22">
        <v>30202</v>
      </c>
      <c r="C172" s="22" t="s">
        <v>41</v>
      </c>
      <c r="D172" s="22" t="s">
        <v>76</v>
      </c>
      <c r="E172" s="22" t="s">
        <v>77</v>
      </c>
      <c r="F172" s="22">
        <v>1</v>
      </c>
      <c r="G172" s="22">
        <v>0</v>
      </c>
      <c r="H172" s="22">
        <v>0</v>
      </c>
      <c r="I172" s="22">
        <v>0</v>
      </c>
      <c r="J172" s="6"/>
      <c r="O172" s="50">
        <v>8</v>
      </c>
    </row>
    <row r="173" spans="1:15" ht="15.75" customHeight="1">
      <c r="A173" s="22">
        <v>1138</v>
      </c>
      <c r="B173" s="22">
        <v>30202</v>
      </c>
      <c r="C173" s="22" t="s">
        <v>41</v>
      </c>
      <c r="D173" s="22" t="s">
        <v>76</v>
      </c>
      <c r="E173" s="22" t="s">
        <v>77</v>
      </c>
      <c r="F173" s="22">
        <v>1</v>
      </c>
      <c r="G173" s="22">
        <v>0</v>
      </c>
      <c r="H173" s="22">
        <v>0</v>
      </c>
      <c r="I173" s="22">
        <v>1</v>
      </c>
      <c r="J173" s="6"/>
      <c r="O173" s="50">
        <v>8</v>
      </c>
    </row>
    <row r="174" spans="1:15" ht="15.75" customHeight="1">
      <c r="A174" s="22">
        <v>1138</v>
      </c>
      <c r="B174" s="22">
        <v>30202</v>
      </c>
      <c r="C174" s="22" t="s">
        <v>41</v>
      </c>
      <c r="D174" s="22" t="s">
        <v>76</v>
      </c>
      <c r="E174" s="22" t="s">
        <v>77</v>
      </c>
      <c r="F174" s="22">
        <v>2</v>
      </c>
      <c r="G174" s="22">
        <v>0</v>
      </c>
      <c r="H174" s="22">
        <v>0</v>
      </c>
      <c r="I174" s="22">
        <v>0</v>
      </c>
      <c r="J174" s="6"/>
      <c r="O174" s="50">
        <v>8</v>
      </c>
    </row>
    <row r="175" spans="1:15" ht="15.75" customHeight="1">
      <c r="A175" s="22">
        <v>1139</v>
      </c>
      <c r="B175" s="22">
        <v>30602</v>
      </c>
      <c r="C175" s="22" t="s">
        <v>41</v>
      </c>
      <c r="D175" s="22" t="s">
        <v>78</v>
      </c>
      <c r="E175" s="22" t="s">
        <v>79</v>
      </c>
      <c r="F175" s="22">
        <v>1</v>
      </c>
      <c r="G175" s="22">
        <v>0</v>
      </c>
      <c r="H175" s="22">
        <v>0</v>
      </c>
      <c r="I175" s="22">
        <v>0</v>
      </c>
      <c r="J175" s="6"/>
      <c r="O175" s="50">
        <v>4</v>
      </c>
    </row>
    <row r="176" spans="1:15" ht="15.75" customHeight="1">
      <c r="A176" s="22">
        <v>1139</v>
      </c>
      <c r="B176" s="22">
        <v>30602</v>
      </c>
      <c r="C176" s="22" t="s">
        <v>41</v>
      </c>
      <c r="D176" s="22" t="s">
        <v>78</v>
      </c>
      <c r="E176" s="22" t="s">
        <v>79</v>
      </c>
      <c r="F176" s="22">
        <v>2</v>
      </c>
      <c r="G176" s="22">
        <v>1</v>
      </c>
      <c r="H176" s="22">
        <v>0</v>
      </c>
      <c r="I176" s="22">
        <v>1</v>
      </c>
      <c r="J176" s="6"/>
      <c r="O176" s="50">
        <v>8</v>
      </c>
    </row>
    <row r="177" spans="1:15" ht="15.75" customHeight="1">
      <c r="A177" s="22">
        <v>1139</v>
      </c>
      <c r="B177" s="22">
        <v>30602</v>
      </c>
      <c r="C177" s="22" t="s">
        <v>41</v>
      </c>
      <c r="D177" s="22" t="s">
        <v>78</v>
      </c>
      <c r="E177" s="22" t="s">
        <v>79</v>
      </c>
      <c r="F177" s="22">
        <v>1</v>
      </c>
      <c r="G177" s="22">
        <v>0</v>
      </c>
      <c r="H177" s="22">
        <v>0</v>
      </c>
      <c r="I177" s="22">
        <v>1</v>
      </c>
      <c r="J177" s="6"/>
      <c r="O177" s="50">
        <v>4</v>
      </c>
    </row>
    <row r="178" spans="1:15" ht="15.75" customHeight="1">
      <c r="A178" s="22">
        <v>1139</v>
      </c>
      <c r="B178" s="22">
        <v>30602</v>
      </c>
      <c r="C178" s="22" t="s">
        <v>41</v>
      </c>
      <c r="D178" s="22" t="s">
        <v>78</v>
      </c>
      <c r="E178" s="22" t="s">
        <v>79</v>
      </c>
      <c r="F178" s="22">
        <v>1</v>
      </c>
      <c r="G178" s="22">
        <v>0</v>
      </c>
      <c r="H178" s="22">
        <v>0</v>
      </c>
      <c r="I178" s="22">
        <v>0</v>
      </c>
      <c r="J178" s="6"/>
      <c r="O178" s="50">
        <v>4</v>
      </c>
    </row>
    <row r="179" spans="1:15" ht="15.75" customHeight="1">
      <c r="O179" s="50">
        <v>4</v>
      </c>
    </row>
    <row r="180" spans="1:15" ht="15.75" customHeight="1">
      <c r="O180" s="50">
        <v>4</v>
      </c>
    </row>
    <row r="181" spans="1:15" ht="15.75" customHeight="1">
      <c r="C181" s="12">
        <v>95</v>
      </c>
      <c r="O181" s="50">
        <v>4</v>
      </c>
    </row>
    <row r="182" spans="1:15" ht="15.75" customHeight="1">
      <c r="C182" s="12">
        <v>95</v>
      </c>
      <c r="O182" s="50">
        <v>4</v>
      </c>
    </row>
    <row r="183" spans="1:15" ht="15.75" customHeight="1">
      <c r="C183" s="12">
        <v>95</v>
      </c>
      <c r="O183" s="50">
        <v>10</v>
      </c>
    </row>
    <row r="184" spans="1:15" ht="15.75" customHeight="1">
      <c r="C184" s="12">
        <v>95</v>
      </c>
      <c r="O184" s="50">
        <v>4</v>
      </c>
    </row>
    <row r="185" spans="1:15" ht="15.75" customHeight="1">
      <c r="C185" s="12">
        <v>95</v>
      </c>
      <c r="O185" s="50">
        <v>10</v>
      </c>
    </row>
    <row r="186" spans="1:15" ht="15.75" customHeight="1">
      <c r="C186" s="12">
        <v>95</v>
      </c>
      <c r="O186" s="50">
        <v>10</v>
      </c>
    </row>
    <row r="187" spans="1:15" ht="15.75" customHeight="1">
      <c r="C187" s="12">
        <v>95</v>
      </c>
      <c r="O187" s="50">
        <v>10</v>
      </c>
    </row>
    <row r="188" spans="1:15" ht="15.75" customHeight="1">
      <c r="C188" s="12">
        <v>95</v>
      </c>
      <c r="O188" s="50">
        <v>10</v>
      </c>
    </row>
    <row r="189" spans="1:15" ht="15.75" customHeight="1">
      <c r="C189" s="12">
        <v>95</v>
      </c>
      <c r="O189" s="50">
        <v>10</v>
      </c>
    </row>
    <row r="190" spans="1:15" ht="15.75" customHeight="1">
      <c r="C190" s="12">
        <v>95</v>
      </c>
      <c r="O190" s="50">
        <v>10</v>
      </c>
    </row>
    <row r="191" spans="1:15" ht="15.75" customHeight="1">
      <c r="C191" s="12">
        <v>95</v>
      </c>
      <c r="O191" s="50">
        <v>10</v>
      </c>
    </row>
    <row r="192" spans="1:15" ht="15.75" customHeight="1">
      <c r="C192" s="12">
        <v>95</v>
      </c>
      <c r="O192" s="50">
        <v>10</v>
      </c>
    </row>
    <row r="193" spans="3:16" ht="15.75" customHeight="1">
      <c r="C193" s="12">
        <v>95</v>
      </c>
      <c r="O193" s="50">
        <v>10</v>
      </c>
    </row>
    <row r="194" spans="3:16" ht="15.75" customHeight="1">
      <c r="C194" s="12">
        <v>95</v>
      </c>
      <c r="O194" s="50">
        <v>3</v>
      </c>
    </row>
    <row r="195" spans="3:16" ht="15.75" customHeight="1">
      <c r="C195" s="12">
        <v>95</v>
      </c>
      <c r="O195" s="50">
        <v>3</v>
      </c>
    </row>
    <row r="196" spans="3:16" ht="15.75" customHeight="1">
      <c r="C196" s="12">
        <v>95</v>
      </c>
      <c r="O196">
        <v>3</v>
      </c>
    </row>
    <row r="197" spans="3:16" ht="15.75" customHeight="1">
      <c r="C197" s="12">
        <v>95</v>
      </c>
      <c r="O197">
        <v>31</v>
      </c>
      <c r="P197">
        <f>+COUNT(O77:O251)</f>
        <v>175</v>
      </c>
    </row>
    <row r="198" spans="3:16" ht="15.75" customHeight="1">
      <c r="C198" s="12">
        <v>95</v>
      </c>
      <c r="O198">
        <v>31</v>
      </c>
    </row>
    <row r="199" spans="3:16" ht="15.75" customHeight="1">
      <c r="C199" s="12">
        <v>95</v>
      </c>
      <c r="O199">
        <v>31</v>
      </c>
    </row>
    <row r="200" spans="3:16" ht="15.75" customHeight="1">
      <c r="C200" s="12">
        <v>95</v>
      </c>
      <c r="O200">
        <v>31</v>
      </c>
    </row>
    <row r="201" spans="3:16" ht="15.75" customHeight="1">
      <c r="C201" s="12">
        <v>95</v>
      </c>
      <c r="O201">
        <v>31</v>
      </c>
    </row>
    <row r="202" spans="3:16" ht="15.75" customHeight="1">
      <c r="C202" s="12">
        <v>95</v>
      </c>
      <c r="O202">
        <v>31</v>
      </c>
    </row>
    <row r="203" spans="3:16" ht="15.75" customHeight="1">
      <c r="C203" s="12">
        <v>95</v>
      </c>
      <c r="O203">
        <v>31</v>
      </c>
    </row>
    <row r="204" spans="3:16" ht="15.75" customHeight="1">
      <c r="C204" s="12">
        <v>95</v>
      </c>
      <c r="O204">
        <v>31</v>
      </c>
    </row>
    <row r="205" spans="3:16" ht="15.75" customHeight="1">
      <c r="C205" s="12">
        <v>95</v>
      </c>
      <c r="O205">
        <v>31</v>
      </c>
    </row>
    <row r="206" spans="3:16" ht="15.75" customHeight="1">
      <c r="C206" s="12">
        <v>95</v>
      </c>
      <c r="O206">
        <v>31</v>
      </c>
    </row>
    <row r="207" spans="3:16" ht="15.75" customHeight="1">
      <c r="C207" s="12">
        <v>95</v>
      </c>
      <c r="O207">
        <v>31</v>
      </c>
    </row>
    <row r="208" spans="3:16" ht="15.75" customHeight="1">
      <c r="C208" s="12">
        <v>95</v>
      </c>
      <c r="O208">
        <v>31</v>
      </c>
    </row>
    <row r="209" spans="3:15" ht="15.75" customHeight="1">
      <c r="C209" s="12">
        <v>95</v>
      </c>
      <c r="M209" s="3" t="s">
        <v>115</v>
      </c>
      <c r="N209">
        <f>+COUNT(C181:C355)</f>
        <v>175</v>
      </c>
      <c r="O209">
        <v>31</v>
      </c>
    </row>
    <row r="210" spans="3:15" ht="15.75" customHeight="1">
      <c r="C210" s="12">
        <v>95</v>
      </c>
      <c r="O210">
        <v>31</v>
      </c>
    </row>
    <row r="211" spans="3:15" ht="15.75" customHeight="1">
      <c r="C211" s="12">
        <v>95</v>
      </c>
      <c r="O211">
        <v>31</v>
      </c>
    </row>
    <row r="212" spans="3:15" ht="15.75" customHeight="1">
      <c r="C212" s="12">
        <v>95</v>
      </c>
      <c r="O212">
        <v>31</v>
      </c>
    </row>
    <row r="213" spans="3:15" ht="15.75" customHeight="1">
      <c r="C213" s="12">
        <v>95</v>
      </c>
      <c r="O213">
        <v>31</v>
      </c>
    </row>
    <row r="214" spans="3:15" ht="15.75" customHeight="1">
      <c r="C214" s="12">
        <v>95</v>
      </c>
      <c r="O214">
        <v>31</v>
      </c>
    </row>
    <row r="215" spans="3:15" ht="15.75" customHeight="1">
      <c r="C215" s="12">
        <v>95</v>
      </c>
      <c r="O215">
        <v>31</v>
      </c>
    </row>
    <row r="216" spans="3:15" ht="15.75" customHeight="1">
      <c r="C216" s="12">
        <v>95</v>
      </c>
      <c r="O216">
        <v>31</v>
      </c>
    </row>
    <row r="217" spans="3:15" ht="15.75" customHeight="1">
      <c r="C217" s="12">
        <v>95</v>
      </c>
      <c r="O217">
        <v>31</v>
      </c>
    </row>
    <row r="218" spans="3:15" ht="15.75" customHeight="1">
      <c r="C218" s="12">
        <v>95</v>
      </c>
      <c r="O218">
        <v>31</v>
      </c>
    </row>
    <row r="219" spans="3:15" ht="15.75" customHeight="1">
      <c r="C219" s="12">
        <v>95</v>
      </c>
      <c r="O219">
        <v>31</v>
      </c>
    </row>
    <row r="220" spans="3:15" ht="15.75" customHeight="1">
      <c r="C220" s="12">
        <v>95</v>
      </c>
      <c r="O220">
        <v>31</v>
      </c>
    </row>
    <row r="221" spans="3:15" ht="15.75" customHeight="1">
      <c r="C221" s="12">
        <v>95</v>
      </c>
      <c r="O221">
        <v>31</v>
      </c>
    </row>
    <row r="222" spans="3:15" ht="15.75" customHeight="1">
      <c r="C222" s="12">
        <v>95</v>
      </c>
      <c r="O222">
        <v>31</v>
      </c>
    </row>
    <row r="223" spans="3:15" ht="15.75" customHeight="1">
      <c r="C223" s="12">
        <v>95</v>
      </c>
      <c r="O223">
        <v>31</v>
      </c>
    </row>
    <row r="224" spans="3:15" ht="15.75" customHeight="1">
      <c r="C224" s="12">
        <v>95</v>
      </c>
      <c r="O224">
        <v>31</v>
      </c>
    </row>
    <row r="225" spans="3:15" ht="15.75" customHeight="1">
      <c r="C225" s="12">
        <v>95</v>
      </c>
      <c r="O225">
        <v>31</v>
      </c>
    </row>
    <row r="226" spans="3:15" ht="15.75" customHeight="1">
      <c r="C226" s="12">
        <v>95</v>
      </c>
      <c r="O226">
        <v>31</v>
      </c>
    </row>
    <row r="227" spans="3:15" ht="15.75" customHeight="1">
      <c r="C227" s="12">
        <v>95</v>
      </c>
      <c r="O227">
        <v>31</v>
      </c>
    </row>
    <row r="228" spans="3:15" ht="15.75" customHeight="1">
      <c r="C228" s="12">
        <v>95</v>
      </c>
      <c r="O228">
        <v>7</v>
      </c>
    </row>
    <row r="229" spans="3:15" ht="15.75" customHeight="1">
      <c r="C229" s="12">
        <v>95</v>
      </c>
      <c r="O229">
        <v>7</v>
      </c>
    </row>
    <row r="230" spans="3:15" ht="15.75" customHeight="1">
      <c r="C230" s="12">
        <v>95</v>
      </c>
      <c r="O230">
        <v>7</v>
      </c>
    </row>
    <row r="231" spans="3:15" ht="15.75" customHeight="1">
      <c r="C231" s="12">
        <v>95</v>
      </c>
      <c r="O231">
        <v>7</v>
      </c>
    </row>
    <row r="232" spans="3:15" ht="15.75" customHeight="1">
      <c r="C232" s="12">
        <v>95</v>
      </c>
      <c r="O232">
        <v>7</v>
      </c>
    </row>
    <row r="233" spans="3:15" ht="15.75" customHeight="1">
      <c r="C233" s="12">
        <v>95</v>
      </c>
      <c r="O233">
        <v>7</v>
      </c>
    </row>
    <row r="234" spans="3:15" ht="15.75" customHeight="1">
      <c r="C234" s="12">
        <v>95</v>
      </c>
      <c r="O234">
        <v>7</v>
      </c>
    </row>
    <row r="235" spans="3:15" ht="15.75" customHeight="1">
      <c r="C235" s="12">
        <v>95</v>
      </c>
      <c r="O235">
        <v>7</v>
      </c>
    </row>
    <row r="236" spans="3:15" ht="15.75" customHeight="1">
      <c r="C236" s="12">
        <v>95</v>
      </c>
      <c r="O236">
        <v>7</v>
      </c>
    </row>
    <row r="237" spans="3:15" ht="15.75" customHeight="1">
      <c r="C237" s="12">
        <v>95</v>
      </c>
      <c r="O237">
        <v>7</v>
      </c>
    </row>
    <row r="238" spans="3:15" ht="15.75" customHeight="1">
      <c r="C238" s="12">
        <v>95</v>
      </c>
      <c r="O238">
        <v>7</v>
      </c>
    </row>
    <row r="239" spans="3:15" ht="15.75" customHeight="1">
      <c r="C239" s="12">
        <v>95</v>
      </c>
      <c r="O239">
        <v>7</v>
      </c>
    </row>
    <row r="240" spans="3:15" ht="15.75" customHeight="1">
      <c r="C240" s="12">
        <v>95</v>
      </c>
      <c r="O240">
        <v>7</v>
      </c>
    </row>
    <row r="241" spans="3:15" ht="15.75" customHeight="1">
      <c r="C241" s="12">
        <v>95</v>
      </c>
      <c r="O241">
        <v>7</v>
      </c>
    </row>
    <row r="242" spans="3:15" ht="15.75" customHeight="1">
      <c r="C242" s="12">
        <v>95</v>
      </c>
      <c r="O242">
        <v>5</v>
      </c>
    </row>
    <row r="243" spans="3:15" ht="15.75" customHeight="1">
      <c r="C243" s="12">
        <v>95</v>
      </c>
      <c r="O243">
        <v>5</v>
      </c>
    </row>
    <row r="244" spans="3:15" ht="15.75" customHeight="1">
      <c r="C244" s="12">
        <v>95</v>
      </c>
      <c r="O244">
        <v>5</v>
      </c>
    </row>
    <row r="245" spans="3:15" ht="15.75" customHeight="1">
      <c r="C245" s="12">
        <v>95</v>
      </c>
      <c r="O245">
        <v>5</v>
      </c>
    </row>
    <row r="246" spans="3:15" ht="15.75" customHeight="1">
      <c r="C246" s="12">
        <v>95</v>
      </c>
      <c r="O246">
        <v>5</v>
      </c>
    </row>
    <row r="247" spans="3:15" ht="15.75" customHeight="1">
      <c r="C247" s="12">
        <v>95</v>
      </c>
      <c r="O247">
        <v>31</v>
      </c>
    </row>
    <row r="248" spans="3:15" ht="15.75" customHeight="1">
      <c r="C248" s="12">
        <v>95</v>
      </c>
      <c r="O248">
        <v>31</v>
      </c>
    </row>
    <row r="249" spans="3:15" ht="15.75" customHeight="1">
      <c r="C249" s="12">
        <v>95</v>
      </c>
      <c r="O249">
        <v>4</v>
      </c>
    </row>
    <row r="250" spans="3:15" ht="15.75" customHeight="1">
      <c r="C250" s="12">
        <v>95</v>
      </c>
      <c r="O250">
        <v>4</v>
      </c>
    </row>
    <row r="251" spans="3:15" ht="15.75" customHeight="1">
      <c r="C251" s="12">
        <v>95</v>
      </c>
      <c r="O251">
        <v>4</v>
      </c>
    </row>
    <row r="252" spans="3:15" ht="15.75" customHeight="1">
      <c r="C252" s="12">
        <v>95</v>
      </c>
    </row>
    <row r="253" spans="3:15" ht="15.75" customHeight="1">
      <c r="C253" s="12">
        <v>95</v>
      </c>
    </row>
    <row r="254" spans="3:15" ht="15.75" customHeight="1">
      <c r="C254" s="12">
        <v>95</v>
      </c>
    </row>
    <row r="255" spans="3:15" ht="15.75" customHeight="1">
      <c r="C255" s="12">
        <v>95</v>
      </c>
    </row>
    <row r="256" spans="3:15" ht="15.75" customHeight="1">
      <c r="C256" s="12">
        <v>95</v>
      </c>
    </row>
    <row r="257" spans="3:3" ht="15.75" customHeight="1">
      <c r="C257" s="12">
        <v>95</v>
      </c>
    </row>
    <row r="258" spans="3:3" ht="15.75" customHeight="1">
      <c r="C258" s="12">
        <v>95</v>
      </c>
    </row>
    <row r="259" spans="3:3" ht="15.75" customHeight="1">
      <c r="C259" s="12">
        <v>95</v>
      </c>
    </row>
    <row r="260" spans="3:3" ht="15.75" customHeight="1">
      <c r="C260" s="12">
        <v>95</v>
      </c>
    </row>
    <row r="261" spans="3:3" ht="15.75" customHeight="1">
      <c r="C261" s="12">
        <v>95</v>
      </c>
    </row>
    <row r="262" spans="3:3" ht="15.75" customHeight="1">
      <c r="C262" s="12">
        <v>95</v>
      </c>
    </row>
    <row r="263" spans="3:3" ht="15.75" customHeight="1">
      <c r="C263" s="12">
        <v>95</v>
      </c>
    </row>
    <row r="264" spans="3:3" ht="15.75" customHeight="1">
      <c r="C264" s="12">
        <v>95</v>
      </c>
    </row>
    <row r="265" spans="3:3" ht="15.75" customHeight="1">
      <c r="C265" s="12">
        <v>95</v>
      </c>
    </row>
    <row r="266" spans="3:3" ht="15.75" customHeight="1">
      <c r="C266" s="12">
        <v>95</v>
      </c>
    </row>
    <row r="267" spans="3:3" ht="15.75" customHeight="1">
      <c r="C267" s="12">
        <v>95</v>
      </c>
    </row>
    <row r="268" spans="3:3" ht="15.75" customHeight="1">
      <c r="C268" s="12">
        <v>95</v>
      </c>
    </row>
    <row r="269" spans="3:3" ht="15.75" customHeight="1">
      <c r="C269" s="12">
        <v>95</v>
      </c>
    </row>
    <row r="270" spans="3:3" ht="15.75" customHeight="1">
      <c r="C270" s="12">
        <v>95</v>
      </c>
    </row>
    <row r="271" spans="3:3" ht="15.75" customHeight="1">
      <c r="C271" s="12">
        <v>95</v>
      </c>
    </row>
    <row r="272" spans="3:3" ht="15.75" customHeight="1">
      <c r="C272" s="12">
        <v>95</v>
      </c>
    </row>
    <row r="273" spans="3:3" ht="15.75" customHeight="1">
      <c r="C273" s="12">
        <v>95</v>
      </c>
    </row>
    <row r="274" spans="3:3" ht="15.75" customHeight="1">
      <c r="C274" s="12">
        <v>95</v>
      </c>
    </row>
    <row r="275" spans="3:3" ht="15.75" customHeight="1">
      <c r="C275" s="12">
        <v>95</v>
      </c>
    </row>
    <row r="276" spans="3:3" ht="15.75" customHeight="1">
      <c r="C276" s="58">
        <v>12</v>
      </c>
    </row>
    <row r="277" spans="3:3" ht="15.75" customHeight="1">
      <c r="C277" s="58">
        <v>12</v>
      </c>
    </row>
    <row r="278" spans="3:3" ht="15.75" customHeight="1">
      <c r="C278" s="58">
        <v>12</v>
      </c>
    </row>
    <row r="279" spans="3:3" ht="15.75" customHeight="1">
      <c r="C279" s="58">
        <v>12</v>
      </c>
    </row>
    <row r="280" spans="3:3" ht="15.75" customHeight="1">
      <c r="C280" s="58">
        <v>12</v>
      </c>
    </row>
    <row r="281" spans="3:3" ht="15.75" customHeight="1">
      <c r="C281" s="58">
        <v>12</v>
      </c>
    </row>
    <row r="282" spans="3:3" ht="15.75" customHeight="1">
      <c r="C282" s="58">
        <v>12</v>
      </c>
    </row>
    <row r="283" spans="3:3" ht="15.75" customHeight="1">
      <c r="C283" s="58">
        <v>12</v>
      </c>
    </row>
    <row r="284" spans="3:3" ht="15.75" customHeight="1">
      <c r="C284" s="58">
        <v>12</v>
      </c>
    </row>
    <row r="285" spans="3:3" ht="15.75" customHeight="1">
      <c r="C285" s="58">
        <v>12</v>
      </c>
    </row>
    <row r="286" spans="3:3" ht="15.75" customHeight="1">
      <c r="C286" s="58">
        <v>12</v>
      </c>
    </row>
    <row r="287" spans="3:3" ht="15.75" customHeight="1">
      <c r="C287" s="58">
        <v>12</v>
      </c>
    </row>
    <row r="288" spans="3:3" ht="15.75" customHeight="1">
      <c r="C288" s="56">
        <v>6</v>
      </c>
    </row>
    <row r="289" spans="3:3" ht="15.75" customHeight="1">
      <c r="C289" s="56">
        <v>6</v>
      </c>
    </row>
    <row r="290" spans="3:3" ht="15.75" customHeight="1">
      <c r="C290" s="56">
        <v>6</v>
      </c>
    </row>
    <row r="291" spans="3:3" ht="15.75" customHeight="1">
      <c r="C291" s="56">
        <v>6</v>
      </c>
    </row>
    <row r="292" spans="3:3" ht="15.75" customHeight="1">
      <c r="C292" s="56">
        <v>6</v>
      </c>
    </row>
    <row r="293" spans="3:3" ht="15.75" customHeight="1">
      <c r="C293" s="56">
        <v>6</v>
      </c>
    </row>
    <row r="294" spans="3:3" ht="15.75" customHeight="1">
      <c r="C294" s="56">
        <v>6</v>
      </c>
    </row>
    <row r="295" spans="3:3" ht="15.75" customHeight="1">
      <c r="C295" s="56">
        <v>6</v>
      </c>
    </row>
    <row r="296" spans="3:3" ht="15.75" customHeight="1">
      <c r="C296" s="56">
        <v>6</v>
      </c>
    </row>
    <row r="297" spans="3:3" ht="15.75" customHeight="1">
      <c r="C297" s="56">
        <v>6</v>
      </c>
    </row>
    <row r="298" spans="3:3" ht="15.75" customHeight="1">
      <c r="C298" s="56">
        <v>6</v>
      </c>
    </row>
    <row r="299" spans="3:3" ht="15.75" customHeight="1">
      <c r="C299" s="56">
        <v>6</v>
      </c>
    </row>
    <row r="300" spans="3:3" ht="15.75" customHeight="1">
      <c r="C300" s="56">
        <v>18</v>
      </c>
    </row>
    <row r="301" spans="3:3" ht="15.75" customHeight="1">
      <c r="C301" s="56">
        <v>18</v>
      </c>
    </row>
    <row r="302" spans="3:3" ht="15.75" customHeight="1">
      <c r="C302" s="56">
        <v>18</v>
      </c>
    </row>
    <row r="303" spans="3:3" ht="15.75" customHeight="1">
      <c r="C303" s="56">
        <v>18</v>
      </c>
    </row>
    <row r="304" spans="3:3" ht="15.75" customHeight="1">
      <c r="C304" s="56">
        <v>18</v>
      </c>
    </row>
    <row r="305" spans="3:3" ht="15.75" customHeight="1">
      <c r="C305" s="56">
        <v>18</v>
      </c>
    </row>
    <row r="306" spans="3:3" ht="15.75" customHeight="1">
      <c r="C306" s="56">
        <v>18</v>
      </c>
    </row>
    <row r="307" spans="3:3" ht="15.75" customHeight="1">
      <c r="C307" s="56">
        <v>18</v>
      </c>
    </row>
    <row r="308" spans="3:3" ht="15.75" customHeight="1">
      <c r="C308" s="56">
        <v>18</v>
      </c>
    </row>
    <row r="309" spans="3:3" ht="15.75" customHeight="1">
      <c r="C309" s="56">
        <v>18</v>
      </c>
    </row>
    <row r="310" spans="3:3" ht="15.75" customHeight="1">
      <c r="C310" s="56">
        <v>18</v>
      </c>
    </row>
    <row r="311" spans="3:3" ht="15.75" customHeight="1">
      <c r="C311" s="56">
        <v>18</v>
      </c>
    </row>
    <row r="312" spans="3:3" ht="15.75" customHeight="1">
      <c r="C312" s="56">
        <v>18</v>
      </c>
    </row>
    <row r="313" spans="3:3" ht="15.75" customHeight="1">
      <c r="C313" s="56">
        <v>18</v>
      </c>
    </row>
    <row r="314" spans="3:3" ht="15.75" customHeight="1">
      <c r="C314" s="56">
        <v>18</v>
      </c>
    </row>
    <row r="315" spans="3:3" ht="15.75" customHeight="1">
      <c r="C315" s="56">
        <v>18</v>
      </c>
    </row>
    <row r="316" spans="3:3" ht="15.75" customHeight="1">
      <c r="C316" s="56">
        <v>18</v>
      </c>
    </row>
    <row r="317" spans="3:3" ht="15.75" customHeight="1">
      <c r="C317" s="56">
        <v>18</v>
      </c>
    </row>
    <row r="318" spans="3:3" ht="15.75" customHeight="1">
      <c r="C318" s="59">
        <v>13</v>
      </c>
    </row>
    <row r="319" spans="3:3" ht="15.75" customHeight="1">
      <c r="C319" s="59">
        <v>13</v>
      </c>
    </row>
    <row r="320" spans="3:3" ht="15.75" customHeight="1">
      <c r="C320" s="59">
        <v>13</v>
      </c>
    </row>
    <row r="321" spans="3:3" ht="15.75" customHeight="1">
      <c r="C321" s="59">
        <v>13</v>
      </c>
    </row>
    <row r="322" spans="3:3" ht="15.75" customHeight="1">
      <c r="C322" s="59">
        <v>13</v>
      </c>
    </row>
    <row r="323" spans="3:3" ht="15.75" customHeight="1">
      <c r="C323" s="59">
        <v>13</v>
      </c>
    </row>
    <row r="324" spans="3:3" ht="15.75" customHeight="1">
      <c r="C324" s="59">
        <v>13</v>
      </c>
    </row>
    <row r="325" spans="3:3" ht="15.75" customHeight="1">
      <c r="C325" s="59">
        <v>13</v>
      </c>
    </row>
    <row r="326" spans="3:3" ht="15.75" customHeight="1">
      <c r="C326" s="59">
        <v>13</v>
      </c>
    </row>
    <row r="327" spans="3:3" ht="15.75" customHeight="1">
      <c r="C327" s="59">
        <v>13</v>
      </c>
    </row>
    <row r="328" spans="3:3" ht="15.75" customHeight="1">
      <c r="C328" s="59">
        <v>13</v>
      </c>
    </row>
    <row r="329" spans="3:3" ht="15.75" customHeight="1">
      <c r="C329" s="59">
        <v>13</v>
      </c>
    </row>
    <row r="330" spans="3:3" ht="15.75" customHeight="1">
      <c r="C330" s="59">
        <v>13</v>
      </c>
    </row>
    <row r="331" spans="3:3" ht="15.75" customHeight="1">
      <c r="C331" s="59">
        <v>5</v>
      </c>
    </row>
    <row r="332" spans="3:3" ht="15.75" customHeight="1">
      <c r="C332" s="59">
        <v>5</v>
      </c>
    </row>
    <row r="333" spans="3:3" ht="15.75" customHeight="1">
      <c r="C333" s="59">
        <v>5</v>
      </c>
    </row>
    <row r="334" spans="3:3" ht="15.75" customHeight="1">
      <c r="C334" s="59">
        <v>5</v>
      </c>
    </row>
    <row r="335" spans="3:3" ht="15.75" customHeight="1">
      <c r="C335" s="59">
        <v>5</v>
      </c>
    </row>
    <row r="336" spans="3:3" ht="15.75" customHeight="1">
      <c r="C336" s="59">
        <v>5</v>
      </c>
    </row>
    <row r="337" spans="3:3" ht="15.75" customHeight="1">
      <c r="C337" s="59">
        <v>5</v>
      </c>
    </row>
    <row r="338" spans="3:3" ht="15.75" customHeight="1">
      <c r="C338" s="59">
        <v>5</v>
      </c>
    </row>
    <row r="339" spans="3:3" ht="15.75" customHeight="1">
      <c r="C339" s="59">
        <v>5</v>
      </c>
    </row>
    <row r="340" spans="3:3" ht="15.75" customHeight="1">
      <c r="C340" s="59">
        <v>5</v>
      </c>
    </row>
    <row r="341" spans="3:3" ht="15.75" customHeight="1">
      <c r="C341" s="59">
        <v>7</v>
      </c>
    </row>
    <row r="342" spans="3:3" ht="15.75" customHeight="1">
      <c r="C342" s="59">
        <v>7</v>
      </c>
    </row>
    <row r="343" spans="3:3" ht="15.75" customHeight="1">
      <c r="C343" s="59">
        <v>7</v>
      </c>
    </row>
    <row r="344" spans="3:3" ht="15.75" customHeight="1">
      <c r="C344" s="59">
        <v>7</v>
      </c>
    </row>
    <row r="345" spans="3:3" ht="15.75" customHeight="1">
      <c r="C345" s="59">
        <v>7</v>
      </c>
    </row>
    <row r="346" spans="3:3" ht="15.75" customHeight="1">
      <c r="C346" s="59">
        <v>7</v>
      </c>
    </row>
    <row r="347" spans="3:3" ht="15.75" customHeight="1">
      <c r="C347" s="59">
        <v>7</v>
      </c>
    </row>
    <row r="348" spans="3:3" ht="15.75" customHeight="1">
      <c r="C348" s="59">
        <v>8</v>
      </c>
    </row>
    <row r="349" spans="3:3" ht="15.75" customHeight="1">
      <c r="C349" s="59">
        <v>8</v>
      </c>
    </row>
    <row r="350" spans="3:3" ht="15.75" customHeight="1">
      <c r="C350" s="59">
        <v>8</v>
      </c>
    </row>
    <row r="351" spans="3:3" ht="15.75" customHeight="1">
      <c r="C351" s="59">
        <v>8</v>
      </c>
    </row>
    <row r="352" spans="3:3" ht="15.75" customHeight="1">
      <c r="C352" s="59">
        <v>8</v>
      </c>
    </row>
    <row r="353" spans="3:3" ht="15.75" customHeight="1">
      <c r="C353" s="59">
        <v>8</v>
      </c>
    </row>
    <row r="354" spans="3:3" ht="15.75" customHeight="1">
      <c r="C354" s="59">
        <v>8</v>
      </c>
    </row>
    <row r="355" spans="3:3" ht="15.75" customHeight="1">
      <c r="C355" s="59">
        <v>8</v>
      </c>
    </row>
    <row r="356" spans="3:3" ht="15.75" customHeight="1"/>
    <row r="357" spans="3:3" ht="15.75" customHeight="1"/>
    <row r="358" spans="3:3" ht="15.75" customHeight="1"/>
    <row r="359" spans="3:3" ht="15.75" customHeight="1"/>
    <row r="360" spans="3:3" ht="15.75" customHeight="1"/>
    <row r="361" spans="3:3" ht="15.75" customHeight="1"/>
    <row r="362" spans="3:3" ht="15.75" customHeight="1"/>
    <row r="363" spans="3:3" ht="15.75" customHeight="1"/>
    <row r="364" spans="3:3" ht="15.75" customHeight="1"/>
    <row r="365" spans="3:3" ht="15.75" customHeight="1"/>
    <row r="366" spans="3:3" ht="15.75" customHeight="1"/>
    <row r="367" spans="3:3" ht="15.75" customHeight="1"/>
    <row r="368" spans="3: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R67:U67"/>
    <mergeCell ref="AA56:AB56"/>
    <mergeCell ref="AD56:AE56"/>
    <mergeCell ref="AD35:AE35"/>
    <mergeCell ref="O56:P56"/>
    <mergeCell ref="L56:N56"/>
    <mergeCell ref="R56:Y56"/>
    <mergeCell ref="Y2:Z2"/>
    <mergeCell ref="AB2:AC2"/>
    <mergeCell ref="L18:N18"/>
    <mergeCell ref="P18:W18"/>
    <mergeCell ref="Y18:Z18"/>
    <mergeCell ref="AB18:AC18"/>
    <mergeCell ref="L57:M57"/>
    <mergeCell ref="A2:I2"/>
    <mergeCell ref="L2:N2"/>
    <mergeCell ref="P2:W2"/>
    <mergeCell ref="Q29:S29"/>
    <mergeCell ref="L36:M36"/>
    <mergeCell ref="O35:P35"/>
    <mergeCell ref="L35:N35"/>
    <mergeCell ref="R35:Y35"/>
    <mergeCell ref="S46:U4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Hoja4</vt:lpstr>
      <vt:lpstr>Hoja5</vt:lpstr>
      <vt:lpstr>Hoja6</vt:lpstr>
      <vt:lpstr>Hoja7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Windows</cp:lastModifiedBy>
  <dcterms:created xsi:type="dcterms:W3CDTF">2023-05-28T19:56:37Z</dcterms:created>
  <dcterms:modified xsi:type="dcterms:W3CDTF">2023-05-29T10:08:29Z</dcterms:modified>
</cp:coreProperties>
</file>