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9090" windowHeight="3015" activeTab="1"/>
  </bookViews>
  <sheets>
    <sheet name="工作表1" sheetId="1" r:id="rId1"/>
    <sheet name="統計" sheetId="4" r:id="rId2"/>
  </sheets>
  <calcPr calcId="152511"/>
</workbook>
</file>

<file path=xl/calcChain.xml><?xml version="1.0" encoding="utf-8"?>
<calcChain xmlns="http://schemas.openxmlformats.org/spreadsheetml/2006/main">
  <c r="C127" i="4" l="1"/>
  <c r="G127" i="4" l="1"/>
  <c r="G126" i="4"/>
  <c r="F127" i="4"/>
  <c r="F126" i="4"/>
  <c r="E127" i="4"/>
  <c r="E126" i="4"/>
  <c r="D127" i="4"/>
  <c r="D126" i="4"/>
  <c r="C126" i="4"/>
  <c r="B127" i="4"/>
  <c r="B126" i="4"/>
  <c r="G110" i="4"/>
  <c r="G109" i="4"/>
  <c r="F110" i="4"/>
  <c r="F109" i="4"/>
  <c r="E110" i="4"/>
  <c r="E109" i="4"/>
  <c r="D110" i="4"/>
  <c r="D109" i="4"/>
  <c r="C110" i="4"/>
  <c r="C109" i="4"/>
  <c r="B110" i="4"/>
  <c r="B109" i="4"/>
  <c r="F91" i="4"/>
  <c r="G92" i="4"/>
  <c r="G91" i="4"/>
  <c r="F92" i="4"/>
  <c r="E92" i="4"/>
  <c r="E91" i="4"/>
  <c r="D92" i="4"/>
  <c r="D91" i="4"/>
  <c r="C92" i="4"/>
  <c r="C91" i="4"/>
  <c r="B92" i="4"/>
  <c r="B91" i="4"/>
  <c r="G74" i="4"/>
  <c r="G73" i="4"/>
  <c r="F74" i="4"/>
  <c r="F73" i="4"/>
  <c r="E74" i="4"/>
  <c r="E73" i="4"/>
  <c r="D74" i="4"/>
  <c r="D73" i="4"/>
  <c r="C74" i="4"/>
  <c r="C73" i="4"/>
  <c r="B74" i="4"/>
  <c r="B73" i="4"/>
  <c r="E56" i="4" l="1"/>
  <c r="E55" i="4"/>
  <c r="D56" i="4"/>
  <c r="D55" i="4"/>
  <c r="C56" i="4"/>
  <c r="C55" i="4"/>
  <c r="B56" i="4"/>
  <c r="B55" i="4"/>
  <c r="E39" i="4"/>
  <c r="E38" i="4"/>
  <c r="D39" i="4"/>
  <c r="D38" i="4"/>
  <c r="C39" i="4"/>
  <c r="C38" i="4"/>
  <c r="B39" i="4"/>
  <c r="B38" i="4"/>
  <c r="E21" i="4"/>
  <c r="E20" i="4"/>
  <c r="D21" i="4"/>
  <c r="D20" i="4"/>
  <c r="C21" i="4"/>
  <c r="C20" i="4"/>
  <c r="B21" i="4"/>
  <c r="B20" i="4"/>
  <c r="E3" i="4"/>
  <c r="E2" i="4"/>
  <c r="D3" i="4"/>
  <c r="D2" i="4"/>
  <c r="C3" i="4"/>
  <c r="C2" i="4"/>
  <c r="B3" i="4"/>
  <c r="B2" i="4"/>
  <c r="K30" i="1"/>
  <c r="K28" i="1"/>
  <c r="K27" i="1"/>
  <c r="K26" i="1"/>
  <c r="G128" i="4" l="1"/>
  <c r="F128" i="4"/>
  <c r="D128" i="4"/>
  <c r="C128" i="4"/>
  <c r="B128" i="4"/>
  <c r="G93" i="4"/>
  <c r="C93" i="4"/>
  <c r="D57" i="4"/>
  <c r="E22" i="4"/>
  <c r="D22" i="4"/>
  <c r="B4" i="4" l="1"/>
  <c r="C4" i="4"/>
  <c r="D4" i="4"/>
  <c r="E4" i="4"/>
  <c r="B22" i="4"/>
  <c r="C22" i="4"/>
  <c r="F93" i="4"/>
  <c r="B57" i="4"/>
  <c r="C57" i="4"/>
  <c r="B93" i="4"/>
  <c r="D93" i="4"/>
  <c r="J18" i="1"/>
  <c r="J19" i="1"/>
  <c r="J20" i="1"/>
  <c r="J21" i="1"/>
  <c r="J22" i="1"/>
  <c r="L55" i="1" l="1"/>
  <c r="K55" i="1"/>
  <c r="I55" i="1"/>
  <c r="H55" i="1"/>
  <c r="G55" i="1"/>
  <c r="F55" i="1"/>
  <c r="D55" i="1"/>
  <c r="C55" i="1"/>
  <c r="J54" i="1"/>
  <c r="E54" i="1"/>
  <c r="J53" i="1"/>
  <c r="E53" i="1"/>
  <c r="J52" i="1"/>
  <c r="E52" i="1"/>
  <c r="J51" i="1"/>
  <c r="E51" i="1"/>
  <c r="J50" i="1"/>
  <c r="J55" i="1" s="1"/>
  <c r="E50" i="1"/>
  <c r="E55" i="1" s="1"/>
  <c r="J60" i="1" l="1"/>
  <c r="I60" i="1"/>
  <c r="J59" i="1"/>
  <c r="I59" i="1"/>
  <c r="J58" i="1"/>
  <c r="J61" i="1" s="1"/>
  <c r="I58" i="1"/>
  <c r="F60" i="1"/>
  <c r="F59" i="1"/>
  <c r="E59" i="1"/>
  <c r="E60" i="1"/>
  <c r="F58" i="1"/>
  <c r="E58" i="1"/>
  <c r="E84" i="1"/>
  <c r="H84" i="1"/>
  <c r="E81" i="1"/>
  <c r="H81" i="1"/>
  <c r="E82" i="1"/>
  <c r="H82" i="1"/>
  <c r="K80" i="1"/>
  <c r="N80" i="1"/>
  <c r="K83" i="1"/>
  <c r="N83" i="1"/>
  <c r="K81" i="1"/>
  <c r="N81" i="1"/>
  <c r="K84" i="1"/>
  <c r="N84" i="1"/>
  <c r="J68" i="1"/>
  <c r="L68" i="1"/>
  <c r="J67" i="1"/>
  <c r="L67" i="1"/>
  <c r="E65" i="1"/>
  <c r="G65" i="1"/>
  <c r="E67" i="1"/>
  <c r="G67" i="1"/>
  <c r="N82" i="1"/>
  <c r="J85" i="1"/>
  <c r="L85" i="1"/>
  <c r="M85" i="1"/>
  <c r="I85" i="1"/>
  <c r="K82" i="1"/>
  <c r="L64" i="1"/>
  <c r="L65" i="1"/>
  <c r="L66" i="1"/>
  <c r="I69" i="1"/>
  <c r="K69" i="1"/>
  <c r="H69" i="1"/>
  <c r="J65" i="1"/>
  <c r="J66" i="1"/>
  <c r="J64" i="1"/>
  <c r="H83" i="1"/>
  <c r="H80" i="1"/>
  <c r="D85" i="1"/>
  <c r="F85" i="1"/>
  <c r="G85" i="1"/>
  <c r="C85" i="1"/>
  <c r="E83" i="1"/>
  <c r="E80" i="1"/>
  <c r="G68" i="1"/>
  <c r="G66" i="1"/>
  <c r="G64" i="1"/>
  <c r="F69" i="1"/>
  <c r="C69" i="1"/>
  <c r="D69" i="1"/>
  <c r="E66" i="1"/>
  <c r="E68" i="1"/>
  <c r="E64" i="1"/>
  <c r="F61" i="1" l="1"/>
  <c r="L61" i="1"/>
  <c r="E61" i="1"/>
  <c r="I61" i="1"/>
  <c r="N85" i="1"/>
  <c r="H85" i="1"/>
  <c r="L69" i="1"/>
  <c r="O85" i="1"/>
  <c r="K85" i="1"/>
  <c r="J69" i="1"/>
  <c r="E85" i="1"/>
  <c r="G69" i="1"/>
  <c r="E69" i="1"/>
  <c r="K29" i="1" l="1"/>
  <c r="E76" i="1"/>
  <c r="G76" i="1"/>
  <c r="E73" i="1"/>
  <c r="G73" i="1"/>
  <c r="J76" i="1"/>
  <c r="L76" i="1"/>
  <c r="J74" i="1"/>
  <c r="L74" i="1"/>
  <c r="J73" i="1"/>
  <c r="L73" i="1"/>
  <c r="L75" i="1"/>
  <c r="J75" i="1"/>
  <c r="L72" i="1"/>
  <c r="J72" i="1"/>
  <c r="G75" i="1"/>
  <c r="G74" i="1"/>
  <c r="E74" i="1"/>
  <c r="E75" i="1"/>
  <c r="G72" i="1"/>
  <c r="E72" i="1"/>
  <c r="I43" i="1"/>
  <c r="I44" i="1"/>
  <c r="I45" i="1"/>
  <c r="I46" i="1"/>
  <c r="I42" i="1"/>
  <c r="E43" i="1"/>
  <c r="E44" i="1"/>
  <c r="E45" i="1"/>
  <c r="E46" i="1"/>
  <c r="E42" i="1"/>
  <c r="E27" i="1"/>
  <c r="E28" i="1"/>
  <c r="E29" i="1"/>
  <c r="E30" i="1"/>
  <c r="E26" i="1"/>
  <c r="E19" i="1" l="1"/>
  <c r="E20" i="1"/>
  <c r="E21" i="1"/>
  <c r="E22" i="1"/>
  <c r="E18" i="1"/>
  <c r="L77" i="1" l="1"/>
  <c r="G61" i="1" l="1"/>
  <c r="C61" i="1"/>
  <c r="D61" i="1" l="1"/>
  <c r="K61" i="1"/>
  <c r="H61" i="1"/>
  <c r="D77" i="1"/>
  <c r="F77" i="1"/>
  <c r="H77" i="1"/>
  <c r="I77" i="1"/>
  <c r="K77" i="1"/>
  <c r="C77" i="1"/>
  <c r="D47" i="1"/>
  <c r="F47" i="1"/>
  <c r="G47" i="1"/>
  <c r="H47" i="1"/>
  <c r="J47" i="1"/>
  <c r="C47" i="1"/>
  <c r="I35" i="1"/>
  <c r="I36" i="1"/>
  <c r="I37" i="1"/>
  <c r="I38" i="1"/>
  <c r="I34" i="1"/>
  <c r="D39" i="1"/>
  <c r="F39" i="1"/>
  <c r="G39" i="1"/>
  <c r="H39" i="1"/>
  <c r="J39" i="1"/>
  <c r="C39" i="1"/>
  <c r="E35" i="1"/>
  <c r="E36" i="1"/>
  <c r="E37" i="1"/>
  <c r="E38" i="1"/>
  <c r="E34" i="1"/>
  <c r="M77" i="1" l="1"/>
  <c r="K47" i="1"/>
  <c r="J77" i="1"/>
  <c r="G77" i="1"/>
  <c r="E77" i="1"/>
  <c r="I47" i="1"/>
  <c r="E47" i="1"/>
  <c r="I39" i="1"/>
  <c r="E39" i="1"/>
  <c r="G7" i="1" l="1"/>
  <c r="H7" i="1"/>
  <c r="M7" i="1" l="1"/>
  <c r="I6" i="1"/>
  <c r="D23" i="1"/>
  <c r="F23" i="1"/>
  <c r="C23" i="1"/>
  <c r="F15" i="1"/>
  <c r="D15" i="1"/>
  <c r="C15" i="1"/>
  <c r="F7" i="1"/>
  <c r="D7" i="1"/>
  <c r="C7" i="1"/>
  <c r="I3" i="1"/>
  <c r="I4" i="1"/>
  <c r="I5" i="1"/>
  <c r="I2" i="1"/>
  <c r="E3" i="1"/>
  <c r="E4" i="1"/>
  <c r="E5" i="1"/>
  <c r="E6" i="1"/>
  <c r="E2" i="1"/>
  <c r="D31" i="1"/>
  <c r="F31" i="1"/>
  <c r="G31" i="1"/>
  <c r="H31" i="1"/>
  <c r="I31" i="1"/>
  <c r="J31" i="1"/>
  <c r="L31" i="1"/>
  <c r="M31" i="1"/>
  <c r="N31" i="1"/>
  <c r="C31" i="1"/>
  <c r="L23" i="1"/>
  <c r="G23" i="1"/>
  <c r="H23" i="1"/>
  <c r="M23" i="1" s="1"/>
  <c r="I23" i="1"/>
  <c r="K23" i="1"/>
  <c r="G15" i="1"/>
  <c r="H15" i="1"/>
  <c r="I15" i="1"/>
  <c r="K15" i="1"/>
  <c r="L15" i="1"/>
  <c r="J7" i="1"/>
  <c r="O31" i="1" l="1"/>
  <c r="E128" i="4"/>
  <c r="E93" i="4"/>
  <c r="E57" i="4"/>
  <c r="M69" i="1"/>
  <c r="K39" i="1"/>
  <c r="J23" i="1"/>
  <c r="K31" i="1"/>
  <c r="M15" i="1"/>
  <c r="M55" i="1"/>
  <c r="E11" i="1"/>
  <c r="K7" i="1"/>
  <c r="J10" i="1"/>
  <c r="J14" i="1"/>
  <c r="J13" i="1"/>
  <c r="J12" i="1"/>
  <c r="J11" i="1"/>
  <c r="E10" i="1"/>
  <c r="E14" i="1"/>
  <c r="E13" i="1"/>
  <c r="E12" i="1"/>
  <c r="I7" i="1"/>
  <c r="E31" i="1"/>
  <c r="E23" i="1"/>
  <c r="E7" i="1"/>
  <c r="E15" i="1" l="1"/>
  <c r="J15" i="1"/>
</calcChain>
</file>

<file path=xl/sharedStrings.xml><?xml version="1.0" encoding="utf-8"?>
<sst xmlns="http://schemas.openxmlformats.org/spreadsheetml/2006/main" count="216" uniqueCount="71">
  <si>
    <t>Video</t>
    <phoneticPr fontId="1" type="noConversion"/>
  </si>
  <si>
    <t>Video+Zip</t>
    <phoneticPr fontId="1" type="noConversion"/>
  </si>
  <si>
    <t>Video+FTP</t>
    <phoneticPr fontId="1" type="noConversion"/>
  </si>
  <si>
    <t>Video+Zip+FTP</t>
    <phoneticPr fontId="1" type="noConversion"/>
  </si>
  <si>
    <t>avg</t>
    <phoneticPr fontId="1" type="noConversion"/>
  </si>
  <si>
    <t>FPS_TI</t>
    <phoneticPr fontId="1" type="noConversion"/>
  </si>
  <si>
    <t>Power_Android(mW)</t>
    <phoneticPr fontId="1" type="noConversion"/>
  </si>
  <si>
    <t>Time_Android(s)</t>
    <phoneticPr fontId="1" type="noConversion"/>
  </si>
  <si>
    <t>Energy_Android(mJ)</t>
    <phoneticPr fontId="1" type="noConversion"/>
  </si>
  <si>
    <t>FPS_Android</t>
    <phoneticPr fontId="1" type="noConversion"/>
  </si>
  <si>
    <t>Power_TI(mW)</t>
    <phoneticPr fontId="1" type="noConversion"/>
  </si>
  <si>
    <t>Time_TI(s)</t>
    <phoneticPr fontId="1" type="noConversion"/>
  </si>
  <si>
    <t>Energy_TI(mJ)</t>
    <phoneticPr fontId="1" type="noConversion"/>
  </si>
  <si>
    <t>Ziptime_Android(s)</t>
    <phoneticPr fontId="1" type="noConversion"/>
  </si>
  <si>
    <t>Ziptime_TI(s)</t>
    <phoneticPr fontId="1" type="noConversion"/>
  </si>
  <si>
    <t>FTPtime_Android(s)</t>
    <phoneticPr fontId="1" type="noConversion"/>
  </si>
  <si>
    <t>FTPtime_TI(s)</t>
    <phoneticPr fontId="1" type="noConversion"/>
  </si>
  <si>
    <t>baseline_cpu</t>
    <phoneticPr fontId="1" type="noConversion"/>
  </si>
  <si>
    <t>baseline_cpu_net</t>
    <phoneticPr fontId="1" type="noConversion"/>
  </si>
  <si>
    <t>Power_saved</t>
    <phoneticPr fontId="1" type="noConversion"/>
  </si>
  <si>
    <t>Time_Android(ms)</t>
    <phoneticPr fontId="1" type="noConversion"/>
  </si>
  <si>
    <t>Time_TI(ms)</t>
    <phoneticPr fontId="1" type="noConversion"/>
  </si>
  <si>
    <t>M</t>
    <phoneticPr fontId="1" type="noConversion"/>
  </si>
  <si>
    <t>M+L1</t>
    <phoneticPr fontId="1" type="noConversion"/>
  </si>
  <si>
    <t>M+L2</t>
    <phoneticPr fontId="1" type="noConversion"/>
  </si>
  <si>
    <t>M+L1+L2</t>
    <phoneticPr fontId="1" type="noConversion"/>
  </si>
  <si>
    <t>H</t>
    <phoneticPr fontId="1" type="noConversion"/>
  </si>
  <si>
    <t>L1</t>
    <phoneticPr fontId="1" type="noConversion"/>
  </si>
  <si>
    <t>Zip</t>
    <phoneticPr fontId="1" type="noConversion"/>
  </si>
  <si>
    <t>L2</t>
    <phoneticPr fontId="1" type="noConversion"/>
  </si>
  <si>
    <t>FTP</t>
    <phoneticPr fontId="1" type="noConversion"/>
  </si>
  <si>
    <t>avg</t>
    <phoneticPr fontId="1" type="noConversion"/>
  </si>
  <si>
    <t>H+L2</t>
    <phoneticPr fontId="1" type="noConversion"/>
  </si>
  <si>
    <t>Touch+FTP</t>
    <phoneticPr fontId="1" type="noConversion"/>
  </si>
  <si>
    <t>Touchtime_Android(ms)</t>
    <phoneticPr fontId="1" type="noConversion"/>
  </si>
  <si>
    <t>avg</t>
    <phoneticPr fontId="1" type="noConversion"/>
  </si>
  <si>
    <t>Power_saved</t>
    <phoneticPr fontId="1" type="noConversion"/>
  </si>
  <si>
    <t>Touch_improved</t>
    <phoneticPr fontId="1" type="noConversion"/>
  </si>
  <si>
    <t>H+L1</t>
    <phoneticPr fontId="1" type="noConversion"/>
  </si>
  <si>
    <t>Touch+Zip</t>
    <phoneticPr fontId="1" type="noConversion"/>
  </si>
  <si>
    <t>avg</t>
    <phoneticPr fontId="1" type="noConversion"/>
  </si>
  <si>
    <t>H+L1+L2</t>
    <phoneticPr fontId="1" type="noConversion"/>
  </si>
  <si>
    <t>Touch+Zip+FTP</t>
    <phoneticPr fontId="1" type="noConversion"/>
  </si>
  <si>
    <t>avg</t>
    <phoneticPr fontId="1" type="noConversion"/>
  </si>
  <si>
    <t>H_Performance</t>
    <phoneticPr fontId="1" type="noConversion"/>
  </si>
  <si>
    <t>H_Energy</t>
    <phoneticPr fontId="1" type="noConversion"/>
  </si>
  <si>
    <t>M_Performance</t>
    <phoneticPr fontId="1" type="noConversion"/>
  </si>
  <si>
    <t>M_Energy</t>
    <phoneticPr fontId="1" type="noConversion"/>
  </si>
  <si>
    <t>L1_Performance</t>
    <phoneticPr fontId="1" type="noConversion"/>
  </si>
  <si>
    <t>L1_Energy</t>
    <phoneticPr fontId="1" type="noConversion"/>
  </si>
  <si>
    <t>L2_Performance</t>
    <phoneticPr fontId="1" type="noConversion"/>
  </si>
  <si>
    <t>L2_Energy</t>
    <phoneticPr fontId="1" type="noConversion"/>
  </si>
  <si>
    <t>L1+L2</t>
    <phoneticPr fontId="1" type="noConversion"/>
  </si>
  <si>
    <t>Zip+FTP</t>
    <phoneticPr fontId="1" type="noConversion"/>
  </si>
  <si>
    <t>Time_Android(s)</t>
    <phoneticPr fontId="1" type="noConversion"/>
  </si>
  <si>
    <t>Energy_Android(mJ)</t>
    <phoneticPr fontId="1" type="noConversion"/>
  </si>
  <si>
    <t>Ziptime_Android(s)</t>
    <phoneticPr fontId="1" type="noConversion"/>
  </si>
  <si>
    <t>FTPtime_Android(s)</t>
    <phoneticPr fontId="1" type="noConversion"/>
  </si>
  <si>
    <t>Power_TI(mW)</t>
    <phoneticPr fontId="1" type="noConversion"/>
  </si>
  <si>
    <t>Time_TI(s)</t>
    <phoneticPr fontId="1" type="noConversion"/>
  </si>
  <si>
    <t>Energy_TI(mJ)</t>
    <phoneticPr fontId="1" type="noConversion"/>
  </si>
  <si>
    <t>Ziptime_TI(s)</t>
    <phoneticPr fontId="1" type="noConversion"/>
  </si>
  <si>
    <t>FTPtime_TI(s)</t>
    <phoneticPr fontId="1" type="noConversion"/>
  </si>
  <si>
    <t>Power_saved</t>
    <phoneticPr fontId="1" type="noConversion"/>
  </si>
  <si>
    <t>Android</t>
    <phoneticPr fontId="1" type="noConversion"/>
  </si>
  <si>
    <t>TI</t>
    <phoneticPr fontId="1" type="noConversion"/>
  </si>
  <si>
    <t>File</t>
    <phoneticPr fontId="1" type="noConversion"/>
  </si>
  <si>
    <t>File+Zip</t>
    <phoneticPr fontId="1" type="noConversion"/>
  </si>
  <si>
    <t>File+FTP</t>
    <phoneticPr fontId="1" type="noConversion"/>
  </si>
  <si>
    <t>File+Zip+FTP</t>
    <phoneticPr fontId="1" type="noConversion"/>
  </si>
  <si>
    <t>File+Zip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</si>
</sst>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Response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統計!$A$2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統計!$B$1:$E$1</c:f>
              <c:strCache>
                <c:ptCount val="4"/>
                <c:pt idx="0">
                  <c:v>File</c:v>
                </c:pt>
                <c:pt idx="1">
                  <c:v>File+Zip</c:v>
                </c:pt>
                <c:pt idx="2">
                  <c:v>File+FTP</c:v>
                </c:pt>
                <c:pt idx="3">
                  <c:v>File+Zip+FTP</c:v>
                </c:pt>
              </c:strCache>
            </c:strRef>
          </c:cat>
          <c:val>
            <c:numRef>
              <c:f>統計!$B$2:$E$2</c:f>
              <c:numCache>
                <c:formatCode>General</c:formatCode>
                <c:ptCount val="4"/>
                <c:pt idx="0">
                  <c:v>143.5</c:v>
                </c:pt>
                <c:pt idx="1">
                  <c:v>126.73999999999998</c:v>
                </c:pt>
                <c:pt idx="2">
                  <c:v>167.56</c:v>
                </c:pt>
                <c:pt idx="3">
                  <c:v>130.26000000000002</c:v>
                </c:pt>
              </c:numCache>
            </c:numRef>
          </c:val>
        </c:ser>
        <c:ser>
          <c:idx val="1"/>
          <c:order val="1"/>
          <c:tx>
            <c:strRef>
              <c:f>統計!$A$3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統計!$B$1:$E$1</c:f>
              <c:strCache>
                <c:ptCount val="4"/>
                <c:pt idx="0">
                  <c:v>File</c:v>
                </c:pt>
                <c:pt idx="1">
                  <c:v>File+Zip</c:v>
                </c:pt>
                <c:pt idx="2">
                  <c:v>File+FTP</c:v>
                </c:pt>
                <c:pt idx="3">
                  <c:v>File+Zip+FTP</c:v>
                </c:pt>
              </c:strCache>
            </c:strRef>
          </c:cat>
          <c:val>
            <c:numRef>
              <c:f>統計!$B$3:$E$3</c:f>
              <c:numCache>
                <c:formatCode>General</c:formatCode>
                <c:ptCount val="4"/>
                <c:pt idx="0">
                  <c:v>139.30000000000001</c:v>
                </c:pt>
                <c:pt idx="1">
                  <c:v>121.28</c:v>
                </c:pt>
                <c:pt idx="2">
                  <c:v>162.38000000000002</c:v>
                </c:pt>
                <c:pt idx="3">
                  <c:v>130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7763568"/>
        <c:axId val="157763952"/>
      </c:barChart>
      <c:catAx>
        <c:axId val="15776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3952"/>
        <c:crosses val="autoZero"/>
        <c:auto val="1"/>
        <c:lblAlgn val="ctr"/>
        <c:lblOffset val="100"/>
        <c:noMultiLvlLbl val="0"/>
      </c:catAx>
      <c:valAx>
        <c:axId val="1577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Time(ms)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76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統計!$A$20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統計!$B$19:$E$19</c:f>
              <c:strCache>
                <c:ptCount val="4"/>
                <c:pt idx="0">
                  <c:v>File</c:v>
                </c:pt>
                <c:pt idx="1">
                  <c:v>File+Zip</c:v>
                </c:pt>
                <c:pt idx="2">
                  <c:v>File+FTP</c:v>
                </c:pt>
                <c:pt idx="3">
                  <c:v>File+Zip+FTP</c:v>
                </c:pt>
              </c:strCache>
            </c:strRef>
          </c:cat>
          <c:val>
            <c:numRef>
              <c:f>統計!$B$20:$E$20</c:f>
              <c:numCache>
                <c:formatCode>General</c:formatCode>
                <c:ptCount val="4"/>
                <c:pt idx="0">
                  <c:v>19028.413359999991</c:v>
                </c:pt>
                <c:pt idx="1">
                  <c:v>46390.099112000004</c:v>
                </c:pt>
                <c:pt idx="2">
                  <c:v>44923.750048000002</c:v>
                </c:pt>
                <c:pt idx="3">
                  <c:v>63655.721008000008</c:v>
                </c:pt>
              </c:numCache>
            </c:numRef>
          </c:val>
        </c:ser>
        <c:ser>
          <c:idx val="1"/>
          <c:order val="1"/>
          <c:tx>
            <c:strRef>
              <c:f>統計!$A$21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統計!$B$19:$E$19</c:f>
              <c:strCache>
                <c:ptCount val="4"/>
                <c:pt idx="0">
                  <c:v>File</c:v>
                </c:pt>
                <c:pt idx="1">
                  <c:v>File+Zip</c:v>
                </c:pt>
                <c:pt idx="2">
                  <c:v>File+FTP</c:v>
                </c:pt>
                <c:pt idx="3">
                  <c:v>File+Zip+FTP</c:v>
                </c:pt>
              </c:strCache>
            </c:strRef>
          </c:cat>
          <c:val>
            <c:numRef>
              <c:f>統計!$B$21:$E$21</c:f>
              <c:numCache>
                <c:formatCode>General</c:formatCode>
                <c:ptCount val="4"/>
                <c:pt idx="0">
                  <c:v>16346.398528888891</c:v>
                </c:pt>
                <c:pt idx="1">
                  <c:v>35890.609356000001</c:v>
                </c:pt>
                <c:pt idx="2">
                  <c:v>30523.914539999987</c:v>
                </c:pt>
                <c:pt idx="3">
                  <c:v>36624.715499999991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7904024"/>
        <c:axId val="157908504"/>
      </c:barChart>
      <c:catAx>
        <c:axId val="1579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08504"/>
        <c:crosses val="autoZero"/>
        <c:auto val="1"/>
        <c:lblAlgn val="ctr"/>
        <c:lblOffset val="100"/>
        <c:noMultiLvlLbl val="0"/>
      </c:catAx>
      <c:valAx>
        <c:axId val="15790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Frame Per</a:t>
            </a:r>
            <a:r>
              <a:rPr lang="en-US" altLang="zh-TW" baseline="0"/>
              <a:t> Second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統計!$A$38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統計!$B$37:$E$37</c:f>
              <c:strCache>
                <c:ptCount val="4"/>
                <c:pt idx="0">
                  <c:v>Video</c:v>
                </c:pt>
                <c:pt idx="1">
                  <c:v>Video+Zip</c:v>
                </c:pt>
                <c:pt idx="2">
                  <c:v>Video+FTP</c:v>
                </c:pt>
                <c:pt idx="3">
                  <c:v>Video+Zip+FTP</c:v>
                </c:pt>
              </c:strCache>
            </c:strRef>
          </c:cat>
          <c:val>
            <c:numRef>
              <c:f>統計!$B$38:$E$38</c:f>
              <c:numCache>
                <c:formatCode>General</c:formatCode>
                <c:ptCount val="4"/>
                <c:pt idx="0">
                  <c:v>29.812000000000001</c:v>
                </c:pt>
                <c:pt idx="1">
                  <c:v>29.803999999999995</c:v>
                </c:pt>
                <c:pt idx="2">
                  <c:v>29.77</c:v>
                </c:pt>
                <c:pt idx="3">
                  <c:v>29.677999999999997</c:v>
                </c:pt>
              </c:numCache>
            </c:numRef>
          </c:val>
        </c:ser>
        <c:ser>
          <c:idx val="1"/>
          <c:order val="1"/>
          <c:tx>
            <c:strRef>
              <c:f>統計!$A$39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統計!$B$37:$E$37</c:f>
              <c:strCache>
                <c:ptCount val="4"/>
                <c:pt idx="0">
                  <c:v>Video</c:v>
                </c:pt>
                <c:pt idx="1">
                  <c:v>Video+Zip</c:v>
                </c:pt>
                <c:pt idx="2">
                  <c:v>Video+FTP</c:v>
                </c:pt>
                <c:pt idx="3">
                  <c:v>Video+Zip+FTP</c:v>
                </c:pt>
              </c:strCache>
            </c:strRef>
          </c:cat>
          <c:val>
            <c:numRef>
              <c:f>統計!$B$39:$E$39</c:f>
              <c:numCache>
                <c:formatCode>General</c:formatCode>
                <c:ptCount val="4"/>
                <c:pt idx="0">
                  <c:v>29.846000000000004</c:v>
                </c:pt>
                <c:pt idx="1">
                  <c:v>29.72</c:v>
                </c:pt>
                <c:pt idx="2">
                  <c:v>29.687999999999999</c:v>
                </c:pt>
                <c:pt idx="3">
                  <c:v>29.661999999999999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040048"/>
        <c:axId val="158040432"/>
      </c:barChart>
      <c:catAx>
        <c:axId val="1580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40432"/>
        <c:crosses val="autoZero"/>
        <c:auto val="1"/>
        <c:lblAlgn val="ctr"/>
        <c:lblOffset val="100"/>
        <c:noMultiLvlLbl val="0"/>
      </c:catAx>
      <c:valAx>
        <c:axId val="1580404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Frame Per</a:t>
                </a:r>
                <a:r>
                  <a:rPr lang="en-US" altLang="zh-TW" baseline="0"/>
                  <a:t> Second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4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統計!$A$55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統計!$B$54:$E$54</c:f>
              <c:strCache>
                <c:ptCount val="4"/>
                <c:pt idx="0">
                  <c:v>Video</c:v>
                </c:pt>
                <c:pt idx="1">
                  <c:v>Video+Zip</c:v>
                </c:pt>
                <c:pt idx="2">
                  <c:v>Video+FTP</c:v>
                </c:pt>
                <c:pt idx="3">
                  <c:v>Video+Zip+FTP</c:v>
                </c:pt>
              </c:strCache>
            </c:strRef>
          </c:cat>
          <c:val>
            <c:numRef>
              <c:f>統計!$B$55:$E$55</c:f>
              <c:numCache>
                <c:formatCode>General</c:formatCode>
                <c:ptCount val="4"/>
                <c:pt idx="0">
                  <c:v>28727.644791999985</c:v>
                </c:pt>
                <c:pt idx="1">
                  <c:v>54942.231456000001</c:v>
                </c:pt>
                <c:pt idx="2">
                  <c:v>50919.67502000001</c:v>
                </c:pt>
                <c:pt idx="3">
                  <c:v>75893.042199999982</c:v>
                </c:pt>
              </c:numCache>
            </c:numRef>
          </c:val>
        </c:ser>
        <c:ser>
          <c:idx val="1"/>
          <c:order val="1"/>
          <c:tx>
            <c:strRef>
              <c:f>統計!$A$56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統計!$B$54:$E$54</c:f>
              <c:strCache>
                <c:ptCount val="4"/>
                <c:pt idx="0">
                  <c:v>Video</c:v>
                </c:pt>
                <c:pt idx="1">
                  <c:v>Video+Zip</c:v>
                </c:pt>
                <c:pt idx="2">
                  <c:v>Video+FTP</c:v>
                </c:pt>
                <c:pt idx="3">
                  <c:v>Video+Zip+FTP</c:v>
                </c:pt>
              </c:strCache>
            </c:strRef>
          </c:cat>
          <c:val>
            <c:numRef>
              <c:f>統計!$B$56:$E$56</c:f>
              <c:numCache>
                <c:formatCode>General</c:formatCode>
                <c:ptCount val="4"/>
                <c:pt idx="0">
                  <c:v>28806.537564000006</c:v>
                </c:pt>
                <c:pt idx="1">
                  <c:v>48508.428760000003</c:v>
                </c:pt>
                <c:pt idx="2">
                  <c:v>40187.375759999981</c:v>
                </c:pt>
                <c:pt idx="3">
                  <c:v>61507.339679999997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7999280"/>
        <c:axId val="158016048"/>
      </c:barChart>
      <c:catAx>
        <c:axId val="15799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016048"/>
        <c:crosses val="autoZero"/>
        <c:auto val="1"/>
        <c:lblAlgn val="ctr"/>
        <c:lblOffset val="100"/>
        <c:noMultiLvlLbl val="0"/>
      </c:catAx>
      <c:valAx>
        <c:axId val="1580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799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Completion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統計!$A$73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統計!$B$72:$G$72</c:f>
              <c:strCache>
                <c:ptCount val="6"/>
                <c:pt idx="0">
                  <c:v>Zip</c:v>
                </c:pt>
                <c:pt idx="1">
                  <c:v>Zip+FTP</c:v>
                </c:pt>
                <c:pt idx="2">
                  <c:v>Video+Zip</c:v>
                </c:pt>
                <c:pt idx="3">
                  <c:v>Video+Zip+FTP</c:v>
                </c:pt>
                <c:pt idx="4">
                  <c:v>File+Zip</c:v>
                </c:pt>
                <c:pt idx="5">
                  <c:v>File+Zip+FTP</c:v>
                </c:pt>
              </c:strCache>
            </c:strRef>
          </c:cat>
          <c:val>
            <c:numRef>
              <c:f>統計!$B$73:$G$73</c:f>
              <c:numCache>
                <c:formatCode>General</c:formatCode>
                <c:ptCount val="6"/>
                <c:pt idx="0">
                  <c:v>20.024999999999999</c:v>
                </c:pt>
                <c:pt idx="1">
                  <c:v>22.025799999999997</c:v>
                </c:pt>
                <c:pt idx="2">
                  <c:v>23.004399999999997</c:v>
                </c:pt>
                <c:pt idx="3">
                  <c:v>26.338600000000003</c:v>
                </c:pt>
                <c:pt idx="4">
                  <c:v>22.501799999999996</c:v>
                </c:pt>
                <c:pt idx="5">
                  <c:v>27.5382</c:v>
                </c:pt>
              </c:numCache>
            </c:numRef>
          </c:val>
        </c:ser>
        <c:ser>
          <c:idx val="1"/>
          <c:order val="1"/>
          <c:tx>
            <c:strRef>
              <c:f>統計!$A$74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.0_);[Red]\(#,##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統計!$B$72:$G$72</c:f>
              <c:strCache>
                <c:ptCount val="6"/>
                <c:pt idx="0">
                  <c:v>Zip</c:v>
                </c:pt>
                <c:pt idx="1">
                  <c:v>Zip+FTP</c:v>
                </c:pt>
                <c:pt idx="2">
                  <c:v>Video+Zip</c:v>
                </c:pt>
                <c:pt idx="3">
                  <c:v>Video+Zip+FTP</c:v>
                </c:pt>
                <c:pt idx="4">
                  <c:v>File+Zip</c:v>
                </c:pt>
                <c:pt idx="5">
                  <c:v>File+Zip+FTP</c:v>
                </c:pt>
              </c:strCache>
            </c:strRef>
          </c:cat>
          <c:val>
            <c:numRef>
              <c:f>統計!$B$74:$G$74</c:f>
              <c:numCache>
                <c:formatCode>General</c:formatCode>
                <c:ptCount val="6"/>
                <c:pt idx="0">
                  <c:v>25.869</c:v>
                </c:pt>
                <c:pt idx="1">
                  <c:v>36.930799999999998</c:v>
                </c:pt>
                <c:pt idx="2">
                  <c:v>41.997</c:v>
                </c:pt>
                <c:pt idx="3">
                  <c:v>51.126799999999989</c:v>
                </c:pt>
                <c:pt idx="4">
                  <c:v>48.597200000000001</c:v>
                </c:pt>
                <c:pt idx="5">
                  <c:v>54.044000000000004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101960"/>
        <c:axId val="158177496"/>
      </c:barChart>
      <c:catAx>
        <c:axId val="15810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77496"/>
        <c:crosses val="autoZero"/>
        <c:auto val="1"/>
        <c:lblAlgn val="ctr"/>
        <c:lblOffset val="100"/>
        <c:noMultiLvlLbl val="0"/>
      </c:catAx>
      <c:valAx>
        <c:axId val="15817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01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統計!$A$91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統計!$B$90:$G$90</c:f>
              <c:strCache>
                <c:ptCount val="6"/>
                <c:pt idx="0">
                  <c:v>Zip</c:v>
                </c:pt>
                <c:pt idx="1">
                  <c:v>Zip+FTP</c:v>
                </c:pt>
                <c:pt idx="2">
                  <c:v>Video+Zip</c:v>
                </c:pt>
                <c:pt idx="3">
                  <c:v>Video+Zip+FTP</c:v>
                </c:pt>
                <c:pt idx="4">
                  <c:v>File+Zip</c:v>
                </c:pt>
                <c:pt idx="5">
                  <c:v>File+Zip+FTP</c:v>
                </c:pt>
              </c:strCache>
            </c:strRef>
          </c:cat>
          <c:val>
            <c:numRef>
              <c:f>統計!$B$91:$G$91</c:f>
              <c:numCache>
                <c:formatCode>General</c:formatCode>
                <c:ptCount val="6"/>
                <c:pt idx="0">
                  <c:v>26326.523187999999</c:v>
                </c:pt>
                <c:pt idx="1">
                  <c:v>48732.231724000027</c:v>
                </c:pt>
                <c:pt idx="2">
                  <c:v>54942.231456000001</c:v>
                </c:pt>
                <c:pt idx="3">
                  <c:v>75893.042199999982</c:v>
                </c:pt>
                <c:pt idx="4">
                  <c:v>46390.099112000004</c:v>
                </c:pt>
                <c:pt idx="5">
                  <c:v>63655.721008000008</c:v>
                </c:pt>
              </c:numCache>
            </c:numRef>
          </c:val>
        </c:ser>
        <c:ser>
          <c:idx val="1"/>
          <c:order val="1"/>
          <c:tx>
            <c:strRef>
              <c:f>統計!$A$92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統計!$B$90:$G$90</c:f>
              <c:strCache>
                <c:ptCount val="6"/>
                <c:pt idx="0">
                  <c:v>Zip</c:v>
                </c:pt>
                <c:pt idx="1">
                  <c:v>Zip+FTP</c:v>
                </c:pt>
                <c:pt idx="2">
                  <c:v>Video+Zip</c:v>
                </c:pt>
                <c:pt idx="3">
                  <c:v>Video+Zip+FTP</c:v>
                </c:pt>
                <c:pt idx="4">
                  <c:v>File+Zip</c:v>
                </c:pt>
                <c:pt idx="5">
                  <c:v>File+Zip+FTP</c:v>
                </c:pt>
              </c:strCache>
            </c:strRef>
          </c:cat>
          <c:val>
            <c:numRef>
              <c:f>統計!$B$92:$G$92</c:f>
              <c:numCache>
                <c:formatCode>General</c:formatCode>
                <c:ptCount val="6"/>
                <c:pt idx="0">
                  <c:v>20743.780379999993</c:v>
                </c:pt>
                <c:pt idx="1">
                  <c:v>33705.232812000002</c:v>
                </c:pt>
                <c:pt idx="2">
                  <c:v>48508.428760000003</c:v>
                </c:pt>
                <c:pt idx="3">
                  <c:v>61507.339679999997</c:v>
                </c:pt>
                <c:pt idx="4">
                  <c:v>35890.609356000001</c:v>
                </c:pt>
                <c:pt idx="5">
                  <c:v>36624.715499999991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178280"/>
        <c:axId val="158178672"/>
      </c:barChart>
      <c:catAx>
        <c:axId val="15817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78672"/>
        <c:crosses val="autoZero"/>
        <c:auto val="1"/>
        <c:lblAlgn val="ctr"/>
        <c:lblOffset val="100"/>
        <c:noMultiLvlLbl val="0"/>
      </c:catAx>
      <c:valAx>
        <c:axId val="15817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Completion Time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統計!$A$109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統計!$B$108:$G$108</c:f>
              <c:strCache>
                <c:ptCount val="6"/>
                <c:pt idx="0">
                  <c:v>FTP</c:v>
                </c:pt>
                <c:pt idx="1">
                  <c:v>Zip+FTP</c:v>
                </c:pt>
                <c:pt idx="2">
                  <c:v>Video+FTP</c:v>
                </c:pt>
                <c:pt idx="3">
                  <c:v>Video+Zip+FTP</c:v>
                </c:pt>
                <c:pt idx="4">
                  <c:v>File+FTP</c:v>
                </c:pt>
                <c:pt idx="5">
                  <c:v>File+Zip+FTP</c:v>
                </c:pt>
              </c:strCache>
            </c:strRef>
          </c:cat>
          <c:val>
            <c:numRef>
              <c:f>統計!$B$109:$G$109</c:f>
              <c:numCache>
                <c:formatCode>General</c:formatCode>
                <c:ptCount val="6"/>
                <c:pt idx="0">
                  <c:v>36.799999999999997</c:v>
                </c:pt>
                <c:pt idx="1">
                  <c:v>53</c:v>
                </c:pt>
                <c:pt idx="2">
                  <c:v>39.799999999999997</c:v>
                </c:pt>
                <c:pt idx="3">
                  <c:v>31.2</c:v>
                </c:pt>
                <c:pt idx="4">
                  <c:v>21.4</c:v>
                </c:pt>
                <c:pt idx="5">
                  <c:v>33.200000000000003</c:v>
                </c:pt>
              </c:numCache>
            </c:numRef>
          </c:val>
        </c:ser>
        <c:ser>
          <c:idx val="1"/>
          <c:order val="1"/>
          <c:tx>
            <c:strRef>
              <c:f>統計!$A$110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統計!$B$108:$G$108</c:f>
              <c:strCache>
                <c:ptCount val="6"/>
                <c:pt idx="0">
                  <c:v>FTP</c:v>
                </c:pt>
                <c:pt idx="1">
                  <c:v>Zip+FTP</c:v>
                </c:pt>
                <c:pt idx="2">
                  <c:v>Video+FTP</c:v>
                </c:pt>
                <c:pt idx="3">
                  <c:v>Video+Zip+FTP</c:v>
                </c:pt>
                <c:pt idx="4">
                  <c:v>File+FTP</c:v>
                </c:pt>
                <c:pt idx="5">
                  <c:v>File+Zip+FTP</c:v>
                </c:pt>
              </c:strCache>
            </c:strRef>
          </c:cat>
          <c:val>
            <c:numRef>
              <c:f>統計!$B$110:$G$110</c:f>
              <c:numCache>
                <c:formatCode>General</c:formatCode>
                <c:ptCount val="6"/>
                <c:pt idx="0">
                  <c:v>33.799999999999997</c:v>
                </c:pt>
                <c:pt idx="1">
                  <c:v>54</c:v>
                </c:pt>
                <c:pt idx="2">
                  <c:v>42</c:v>
                </c:pt>
                <c:pt idx="3">
                  <c:v>34.4</c:v>
                </c:pt>
                <c:pt idx="4">
                  <c:v>28</c:v>
                </c:pt>
                <c:pt idx="5">
                  <c:v>44.4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179456"/>
        <c:axId val="158179848"/>
      </c:barChart>
      <c:catAx>
        <c:axId val="1581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79848"/>
        <c:crosses val="autoZero"/>
        <c:auto val="1"/>
        <c:lblAlgn val="ctr"/>
        <c:lblOffset val="100"/>
        <c:noMultiLvlLbl val="0"/>
      </c:catAx>
      <c:valAx>
        <c:axId val="15817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7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統計!$A$126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統計!$B$125:$G$125</c:f>
              <c:strCache>
                <c:ptCount val="6"/>
                <c:pt idx="0">
                  <c:v>FTP</c:v>
                </c:pt>
                <c:pt idx="1">
                  <c:v>Zip+FTP</c:v>
                </c:pt>
                <c:pt idx="2">
                  <c:v>Video+FTP</c:v>
                </c:pt>
                <c:pt idx="3">
                  <c:v>Video+Zip+FTP</c:v>
                </c:pt>
                <c:pt idx="4">
                  <c:v>File+FTP</c:v>
                </c:pt>
                <c:pt idx="5">
                  <c:v>File+Zip+FTP</c:v>
                </c:pt>
              </c:strCache>
            </c:strRef>
          </c:cat>
          <c:val>
            <c:numRef>
              <c:f>統計!$B$126:$G$126</c:f>
              <c:numCache>
                <c:formatCode>General</c:formatCode>
                <c:ptCount val="6"/>
                <c:pt idx="0">
                  <c:v>24584.743860000002</c:v>
                </c:pt>
                <c:pt idx="1">
                  <c:v>48732.231724000027</c:v>
                </c:pt>
                <c:pt idx="2">
                  <c:v>50919.67502000001</c:v>
                </c:pt>
                <c:pt idx="3">
                  <c:v>75893.042199999982</c:v>
                </c:pt>
                <c:pt idx="4">
                  <c:v>44923.750048000002</c:v>
                </c:pt>
                <c:pt idx="5">
                  <c:v>63655.721008000008</c:v>
                </c:pt>
              </c:numCache>
            </c:numRef>
          </c:val>
        </c:ser>
        <c:ser>
          <c:idx val="1"/>
          <c:order val="1"/>
          <c:tx>
            <c:strRef>
              <c:f>統計!$A$127</c:f>
              <c:strCache>
                <c:ptCount val="1"/>
                <c:pt idx="0">
                  <c:v>TI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numFmt formatCode="#,##0_);[Red]\(#,##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統計!$B$125:$G$125</c:f>
              <c:strCache>
                <c:ptCount val="6"/>
                <c:pt idx="0">
                  <c:v>FTP</c:v>
                </c:pt>
                <c:pt idx="1">
                  <c:v>Zip+FTP</c:v>
                </c:pt>
                <c:pt idx="2">
                  <c:v>Video+FTP</c:v>
                </c:pt>
                <c:pt idx="3">
                  <c:v>Video+Zip+FTP</c:v>
                </c:pt>
                <c:pt idx="4">
                  <c:v>File+FTP</c:v>
                </c:pt>
                <c:pt idx="5">
                  <c:v>File+Zip+FTP</c:v>
                </c:pt>
              </c:strCache>
            </c:strRef>
          </c:cat>
          <c:val>
            <c:numRef>
              <c:f>統計!$B$127:$G$127</c:f>
              <c:numCache>
                <c:formatCode>General</c:formatCode>
                <c:ptCount val="6"/>
                <c:pt idx="0">
                  <c:v>9145.198640000006</c:v>
                </c:pt>
                <c:pt idx="1">
                  <c:v>33705.232812000002</c:v>
                </c:pt>
                <c:pt idx="2">
                  <c:v>40187.375759999981</c:v>
                </c:pt>
                <c:pt idx="3">
                  <c:v>61507.339679999997</c:v>
                </c:pt>
                <c:pt idx="4">
                  <c:v>30523.914539999987</c:v>
                </c:pt>
                <c:pt idx="5">
                  <c:v>36624.715499999991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8180632"/>
        <c:axId val="158181024"/>
      </c:barChart>
      <c:catAx>
        <c:axId val="1581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81024"/>
        <c:crosses val="autoZero"/>
        <c:auto val="1"/>
        <c:lblAlgn val="ctr"/>
        <c:lblOffset val="100"/>
        <c:noMultiLvlLbl val="0"/>
      </c:catAx>
      <c:valAx>
        <c:axId val="1581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18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4</xdr:row>
      <xdr:rowOff>80962</xdr:rowOff>
    </xdr:from>
    <xdr:to>
      <xdr:col>5</xdr:col>
      <xdr:colOff>623887</xdr:colOff>
      <xdr:row>17</xdr:row>
      <xdr:rowOff>100012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652462</xdr:colOff>
      <xdr:row>22</xdr:row>
      <xdr:rowOff>109537</xdr:rowOff>
    </xdr:from>
    <xdr:to>
      <xdr:col>5</xdr:col>
      <xdr:colOff>585787</xdr:colOff>
      <xdr:row>35</xdr:row>
      <xdr:rowOff>128587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576262</xdr:colOff>
      <xdr:row>39</xdr:row>
      <xdr:rowOff>61912</xdr:rowOff>
    </xdr:from>
    <xdr:to>
      <xdr:col>5</xdr:col>
      <xdr:colOff>509587</xdr:colOff>
      <xdr:row>52</xdr:row>
      <xdr:rowOff>80962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595312</xdr:colOff>
      <xdr:row>57</xdr:row>
      <xdr:rowOff>80962</xdr:rowOff>
    </xdr:from>
    <xdr:to>
      <xdr:col>5</xdr:col>
      <xdr:colOff>528637</xdr:colOff>
      <xdr:row>70</xdr:row>
      <xdr:rowOff>100012</xdr:rowOff>
    </xdr:to>
    <xdr:graphicFrame macro="">
      <xdr:nvGraphicFramePr>
        <xdr:cNvPr id="15" name="圖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629478</xdr:colOff>
      <xdr:row>75</xdr:row>
      <xdr:rowOff>15736</xdr:rowOff>
    </xdr:from>
    <xdr:to>
      <xdr:col>5</xdr:col>
      <xdr:colOff>563217</xdr:colOff>
      <xdr:row>88</xdr:row>
      <xdr:rowOff>67089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625337</xdr:colOff>
      <xdr:row>93</xdr:row>
      <xdr:rowOff>82000</xdr:rowOff>
    </xdr:from>
    <xdr:to>
      <xdr:col>5</xdr:col>
      <xdr:colOff>559076</xdr:colOff>
      <xdr:row>106</xdr:row>
      <xdr:rowOff>133352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654326</xdr:colOff>
      <xdr:row>110</xdr:row>
      <xdr:rowOff>65433</xdr:rowOff>
    </xdr:from>
    <xdr:to>
      <xdr:col>5</xdr:col>
      <xdr:colOff>588065</xdr:colOff>
      <xdr:row>123</xdr:row>
      <xdr:rowOff>116785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605117</xdr:colOff>
      <xdr:row>128</xdr:row>
      <xdr:rowOff>158002</xdr:rowOff>
    </xdr:from>
    <xdr:to>
      <xdr:col>5</xdr:col>
      <xdr:colOff>537882</xdr:colOff>
      <xdr:row>141</xdr:row>
      <xdr:rowOff>133349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4"/>
  <sheetViews>
    <sheetView topLeftCell="A37" zoomScale="70" zoomScaleNormal="70" workbookViewId="0">
      <selection activeCell="L55" sqref="L55"/>
    </sheetView>
  </sheetViews>
  <sheetFormatPr defaultRowHeight="16.5" x14ac:dyDescent="0.25"/>
  <cols>
    <col min="2" max="3" width="19.25" customWidth="1"/>
    <col min="4" max="4" width="16.625" customWidth="1"/>
    <col min="5" max="5" width="18" customWidth="1"/>
    <col min="6" max="6" width="20.875" customWidth="1"/>
    <col min="7" max="7" width="20.75" customWidth="1"/>
    <col min="8" max="8" width="21.5" customWidth="1"/>
    <col min="9" max="9" width="13.625" customWidth="1"/>
    <col min="10" max="10" width="20.625" customWidth="1"/>
    <col min="11" max="11" width="13.5" customWidth="1"/>
    <col min="12" max="12" width="21.625" customWidth="1"/>
    <col min="13" max="13" width="14.875" customWidth="1"/>
    <col min="14" max="14" width="21.375" customWidth="1"/>
    <col min="15" max="15" width="13.125" customWidth="1"/>
  </cols>
  <sheetData>
    <row r="1" spans="1:14" x14ac:dyDescent="0.25">
      <c r="A1" t="s">
        <v>22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19</v>
      </c>
      <c r="M1" t="s">
        <v>17</v>
      </c>
      <c r="N1" t="s">
        <v>18</v>
      </c>
    </row>
    <row r="2" spans="1:14" x14ac:dyDescent="0.25">
      <c r="B2">
        <v>1</v>
      </c>
      <c r="C2">
        <v>1082.46</v>
      </c>
      <c r="D2">
        <v>62.96</v>
      </c>
      <c r="E2">
        <f>C2*D2</f>
        <v>68151.681599999996</v>
      </c>
      <c r="F2">
        <v>29.81</v>
      </c>
      <c r="G2">
        <v>1079.43</v>
      </c>
      <c r="H2">
        <v>63.16</v>
      </c>
      <c r="I2">
        <f>G2*H2</f>
        <v>68176.798800000004</v>
      </c>
      <c r="J2">
        <v>29.8</v>
      </c>
      <c r="M2">
        <v>623.63</v>
      </c>
    </row>
    <row r="3" spans="1:14" x14ac:dyDescent="0.25">
      <c r="B3">
        <v>2</v>
      </c>
      <c r="C3">
        <v>1072.83</v>
      </c>
      <c r="D3">
        <v>62.38</v>
      </c>
      <c r="E3">
        <f t="shared" ref="E3:E6" si="0">C3*D3</f>
        <v>66923.135399999999</v>
      </c>
      <c r="F3">
        <v>29.77</v>
      </c>
      <c r="G3">
        <v>1073.82</v>
      </c>
      <c r="H3">
        <v>62.56</v>
      </c>
      <c r="I3">
        <f t="shared" ref="I3:I6" si="1">G3*H3</f>
        <v>67178.179199999999</v>
      </c>
      <c r="J3">
        <v>29.74</v>
      </c>
      <c r="M3">
        <v>616.41999999999996</v>
      </c>
    </row>
    <row r="4" spans="1:14" x14ac:dyDescent="0.25">
      <c r="B4">
        <v>3</v>
      </c>
      <c r="C4">
        <v>1081.8399999999999</v>
      </c>
      <c r="D4">
        <v>63.17</v>
      </c>
      <c r="E4">
        <f t="shared" si="0"/>
        <v>68339.832800000004</v>
      </c>
      <c r="F4">
        <v>29.87</v>
      </c>
      <c r="G4">
        <v>1073.8900000000001</v>
      </c>
      <c r="H4">
        <v>63.17</v>
      </c>
      <c r="I4">
        <f t="shared" si="1"/>
        <v>67837.631300000008</v>
      </c>
      <c r="J4">
        <v>29.92</v>
      </c>
      <c r="M4">
        <v>615.76</v>
      </c>
    </row>
    <row r="5" spans="1:14" x14ac:dyDescent="0.25">
      <c r="B5">
        <v>4</v>
      </c>
      <c r="C5">
        <v>1067.83</v>
      </c>
      <c r="D5">
        <v>62.37</v>
      </c>
      <c r="E5">
        <f t="shared" si="0"/>
        <v>66600.557099999991</v>
      </c>
      <c r="F5">
        <v>29.8</v>
      </c>
      <c r="G5">
        <v>1071.6500000000001</v>
      </c>
      <c r="H5">
        <v>63.15</v>
      </c>
      <c r="I5">
        <f t="shared" si="1"/>
        <v>67674.697500000009</v>
      </c>
      <c r="J5">
        <v>29.89</v>
      </c>
      <c r="M5">
        <v>621.20000000000005</v>
      </c>
    </row>
    <row r="6" spans="1:14" x14ac:dyDescent="0.25">
      <c r="B6">
        <v>5</v>
      </c>
      <c r="C6">
        <v>1074.5999999999999</v>
      </c>
      <c r="D6">
        <v>63.06</v>
      </c>
      <c r="E6">
        <f t="shared" si="0"/>
        <v>67764.275999999998</v>
      </c>
      <c r="F6">
        <v>29.81</v>
      </c>
      <c r="G6">
        <v>1077.81</v>
      </c>
      <c r="H6">
        <v>63.17</v>
      </c>
      <c r="I6">
        <f t="shared" si="1"/>
        <v>68085.257700000002</v>
      </c>
      <c r="J6">
        <v>29.88</v>
      </c>
      <c r="M6">
        <v>614.88</v>
      </c>
    </row>
    <row r="7" spans="1:14" x14ac:dyDescent="0.25">
      <c r="B7" t="s">
        <v>4</v>
      </c>
      <c r="C7">
        <f>AVERAGE(C2:C6)</f>
        <v>1075.9119999999998</v>
      </c>
      <c r="D7">
        <f>AVERAGE(D2:D6)</f>
        <v>62.787999999999997</v>
      </c>
      <c r="E7">
        <f t="shared" ref="E7:J7" si="2">AVERAGE(E2:E6)</f>
        <v>67555.896580000001</v>
      </c>
      <c r="F7">
        <f t="shared" si="2"/>
        <v>29.812000000000001</v>
      </c>
      <c r="G7">
        <f t="shared" si="2"/>
        <v>1075.3200000000002</v>
      </c>
      <c r="H7">
        <f t="shared" si="2"/>
        <v>63.041999999999994</v>
      </c>
      <c r="I7">
        <f t="shared" si="2"/>
        <v>67790.512900000002</v>
      </c>
      <c r="J7">
        <f t="shared" si="2"/>
        <v>29.846000000000004</v>
      </c>
      <c r="K7" s="1">
        <f>(C7-G7)/(C7-M7)</f>
        <v>1.2938929128756417E-3</v>
      </c>
      <c r="L7" s="1"/>
      <c r="M7">
        <f>AVERAGE(M2:M6)</f>
        <v>618.37800000000004</v>
      </c>
      <c r="N7">
        <v>976.43</v>
      </c>
    </row>
    <row r="9" spans="1:14" x14ac:dyDescent="0.25">
      <c r="A9" t="s">
        <v>23</v>
      </c>
      <c r="B9" t="s">
        <v>1</v>
      </c>
      <c r="C9" t="s">
        <v>6</v>
      </c>
      <c r="D9" t="s">
        <v>7</v>
      </c>
      <c r="E9" t="s">
        <v>8</v>
      </c>
      <c r="F9" t="s">
        <v>9</v>
      </c>
      <c r="G9" t="s">
        <v>13</v>
      </c>
      <c r="H9" t="s">
        <v>10</v>
      </c>
      <c r="I9" t="s">
        <v>11</v>
      </c>
      <c r="J9" t="s">
        <v>12</v>
      </c>
      <c r="K9" t="s">
        <v>5</v>
      </c>
      <c r="L9" t="s">
        <v>14</v>
      </c>
      <c r="M9" t="s">
        <v>19</v>
      </c>
    </row>
    <row r="10" spans="1:14" x14ac:dyDescent="0.25">
      <c r="B10">
        <v>1</v>
      </c>
      <c r="C10">
        <v>1406.07</v>
      </c>
      <c r="D10">
        <v>68.739999999999995</v>
      </c>
      <c r="E10">
        <f>(C10-$M$7)*D10</f>
        <v>54145.948079999987</v>
      </c>
      <c r="F10">
        <v>29.83</v>
      </c>
      <c r="G10">
        <v>22.536999999999999</v>
      </c>
      <c r="H10">
        <v>1242.6500000000001</v>
      </c>
      <c r="I10">
        <v>74.58</v>
      </c>
      <c r="J10">
        <f>(H10-$M$7)*I10</f>
        <v>46558.205760000004</v>
      </c>
      <c r="K10">
        <v>29.8</v>
      </c>
      <c r="L10">
        <v>28.231000000000002</v>
      </c>
    </row>
    <row r="11" spans="1:14" x14ac:dyDescent="0.25">
      <c r="B11">
        <v>2</v>
      </c>
      <c r="C11">
        <v>1405.9</v>
      </c>
      <c r="D11">
        <v>68.319999999999993</v>
      </c>
      <c r="E11">
        <f t="shared" ref="E11:E14" si="3">(C11-$M$7)*D11</f>
        <v>53803.503039999996</v>
      </c>
      <c r="F11">
        <v>29.81</v>
      </c>
      <c r="G11">
        <v>21.094000000000001</v>
      </c>
      <c r="H11">
        <v>1312.14</v>
      </c>
      <c r="I11">
        <v>73.849999999999994</v>
      </c>
      <c r="J11">
        <f t="shared" ref="J11:J14" si="4">(H11-$M$7)*I11</f>
        <v>51234.323700000001</v>
      </c>
      <c r="K11">
        <v>29.79</v>
      </c>
      <c r="L11">
        <v>41.076000000000001</v>
      </c>
    </row>
    <row r="12" spans="1:14" x14ac:dyDescent="0.25">
      <c r="B12">
        <v>3</v>
      </c>
      <c r="C12">
        <v>1454.78</v>
      </c>
      <c r="D12">
        <v>68.260000000000005</v>
      </c>
      <c r="E12">
        <f t="shared" si="3"/>
        <v>57092.800519999997</v>
      </c>
      <c r="F12">
        <v>29.81</v>
      </c>
      <c r="G12">
        <v>25.507999999999999</v>
      </c>
      <c r="H12">
        <v>1293.3499999999999</v>
      </c>
      <c r="I12">
        <v>72.48</v>
      </c>
      <c r="J12">
        <f t="shared" si="4"/>
        <v>48921.970559999994</v>
      </c>
      <c r="K12">
        <v>29.64</v>
      </c>
      <c r="L12">
        <v>72.441999999999993</v>
      </c>
    </row>
    <row r="13" spans="1:14" x14ac:dyDescent="0.25">
      <c r="B13">
        <v>4</v>
      </c>
      <c r="C13">
        <v>1401.81</v>
      </c>
      <c r="D13">
        <v>67.86</v>
      </c>
      <c r="E13">
        <f t="shared" si="3"/>
        <v>53163.695519999994</v>
      </c>
      <c r="F13">
        <v>29.74</v>
      </c>
      <c r="G13">
        <v>21.006</v>
      </c>
      <c r="H13">
        <v>1279.53</v>
      </c>
      <c r="I13">
        <v>73.27</v>
      </c>
      <c r="J13">
        <f t="shared" si="4"/>
        <v>48442.607039999995</v>
      </c>
      <c r="K13">
        <v>29.67</v>
      </c>
      <c r="L13">
        <v>44.816000000000003</v>
      </c>
    </row>
    <row r="14" spans="1:14" x14ac:dyDescent="0.25">
      <c r="B14">
        <v>5</v>
      </c>
      <c r="C14">
        <v>1450.29</v>
      </c>
      <c r="D14">
        <v>67.91</v>
      </c>
      <c r="E14">
        <f t="shared" si="3"/>
        <v>56495.143919999995</v>
      </c>
      <c r="F14">
        <v>29.83</v>
      </c>
      <c r="G14">
        <v>24.876999999999999</v>
      </c>
      <c r="H14">
        <v>1269.96</v>
      </c>
      <c r="I14">
        <v>72.67</v>
      </c>
      <c r="J14">
        <f t="shared" si="4"/>
        <v>47350.463940000001</v>
      </c>
      <c r="K14">
        <v>29.7</v>
      </c>
      <c r="L14">
        <v>23.42</v>
      </c>
    </row>
    <row r="15" spans="1:14" x14ac:dyDescent="0.25">
      <c r="B15" t="s">
        <v>4</v>
      </c>
      <c r="C15">
        <f>AVERAGE(C10:C14)</f>
        <v>1423.77</v>
      </c>
      <c r="D15">
        <f>AVERAGE(D10:D14)</f>
        <v>68.218000000000004</v>
      </c>
      <c r="E15">
        <f t="shared" ref="E15:L15" si="5">AVERAGE(E10:E14)</f>
        <v>54940.218215999994</v>
      </c>
      <c r="F15">
        <f>AVERAGE(F10:F14)</f>
        <v>29.803999999999995</v>
      </c>
      <c r="G15">
        <f t="shared" si="5"/>
        <v>23.004399999999997</v>
      </c>
      <c r="H15">
        <f t="shared" si="5"/>
        <v>1279.5260000000001</v>
      </c>
      <c r="I15">
        <f t="shared" si="5"/>
        <v>73.37</v>
      </c>
      <c r="J15">
        <f t="shared" si="5"/>
        <v>48501.514199999998</v>
      </c>
      <c r="K15">
        <f t="shared" si="5"/>
        <v>29.72</v>
      </c>
      <c r="L15">
        <f t="shared" si="5"/>
        <v>41.997</v>
      </c>
      <c r="M15" s="1">
        <f>(C15-H15)/(C15-M7)</f>
        <v>0.17909788028686643</v>
      </c>
    </row>
    <row r="17" spans="1:15" x14ac:dyDescent="0.25">
      <c r="A17" t="s">
        <v>24</v>
      </c>
      <c r="B17" t="s">
        <v>2</v>
      </c>
      <c r="C17" t="s">
        <v>6</v>
      </c>
      <c r="D17" t="s">
        <v>7</v>
      </c>
      <c r="E17" t="s">
        <v>8</v>
      </c>
      <c r="F17" t="s">
        <v>9</v>
      </c>
      <c r="G17" t="s">
        <v>15</v>
      </c>
      <c r="H17" t="s">
        <v>10</v>
      </c>
      <c r="I17" t="s">
        <v>11</v>
      </c>
      <c r="J17" t="s">
        <v>12</v>
      </c>
      <c r="K17" t="s">
        <v>5</v>
      </c>
      <c r="L17" t="s">
        <v>16</v>
      </c>
      <c r="M17" t="s">
        <v>19</v>
      </c>
    </row>
    <row r="18" spans="1:15" x14ac:dyDescent="0.25">
      <c r="B18">
        <v>1</v>
      </c>
      <c r="C18">
        <v>1595.78</v>
      </c>
      <c r="D18">
        <v>68.22</v>
      </c>
      <c r="E18">
        <f>C18*D18</f>
        <v>108864.11159999999</v>
      </c>
      <c r="F18">
        <v>29.68</v>
      </c>
      <c r="G18">
        <v>48</v>
      </c>
      <c r="H18">
        <v>1418.34</v>
      </c>
      <c r="I18">
        <v>72.400000000000006</v>
      </c>
      <c r="J18">
        <f>H18*I18</f>
        <v>102687.81600000001</v>
      </c>
      <c r="K18">
        <v>29.6</v>
      </c>
      <c r="L18">
        <v>39</v>
      </c>
    </row>
    <row r="19" spans="1:15" x14ac:dyDescent="0.25">
      <c r="B19">
        <v>2</v>
      </c>
      <c r="C19">
        <v>1598.55</v>
      </c>
      <c r="D19">
        <v>67.62</v>
      </c>
      <c r="E19">
        <f t="shared" ref="E19:E22" si="6">C19*D19</f>
        <v>108093.951</v>
      </c>
      <c r="F19">
        <v>29.8</v>
      </c>
      <c r="G19">
        <v>38</v>
      </c>
      <c r="H19">
        <v>1389.82</v>
      </c>
      <c r="I19">
        <v>72.39</v>
      </c>
      <c r="J19">
        <f t="shared" ref="J19:J22" si="7">H19*I19</f>
        <v>100609.0698</v>
      </c>
      <c r="K19">
        <v>29.63</v>
      </c>
      <c r="L19">
        <v>36</v>
      </c>
    </row>
    <row r="20" spans="1:15" x14ac:dyDescent="0.25">
      <c r="B20">
        <v>3</v>
      </c>
      <c r="C20">
        <v>1543.08</v>
      </c>
      <c r="D20">
        <v>68.010000000000005</v>
      </c>
      <c r="E20">
        <f t="shared" si="6"/>
        <v>104944.8708</v>
      </c>
      <c r="F20">
        <v>29.83</v>
      </c>
      <c r="G20">
        <v>32</v>
      </c>
      <c r="H20">
        <v>1365.96</v>
      </c>
      <c r="I20">
        <v>71.31</v>
      </c>
      <c r="J20">
        <f t="shared" si="7"/>
        <v>97406.607600000003</v>
      </c>
      <c r="K20">
        <v>29.63</v>
      </c>
      <c r="L20">
        <v>64</v>
      </c>
    </row>
    <row r="21" spans="1:15" x14ac:dyDescent="0.25">
      <c r="B21">
        <v>4</v>
      </c>
      <c r="C21">
        <v>1564.93</v>
      </c>
      <c r="D21">
        <v>67.819999999999993</v>
      </c>
      <c r="E21">
        <f t="shared" si="6"/>
        <v>106133.5526</v>
      </c>
      <c r="F21">
        <v>29.72</v>
      </c>
      <c r="G21">
        <v>38</v>
      </c>
      <c r="H21">
        <v>1407.6</v>
      </c>
      <c r="I21">
        <v>71.400000000000006</v>
      </c>
      <c r="J21">
        <f t="shared" si="7"/>
        <v>100502.64</v>
      </c>
      <c r="K21">
        <v>29.73</v>
      </c>
      <c r="L21">
        <v>33</v>
      </c>
    </row>
    <row r="22" spans="1:15" x14ac:dyDescent="0.25">
      <c r="B22">
        <v>5</v>
      </c>
      <c r="C22">
        <v>1591.5</v>
      </c>
      <c r="D22">
        <v>67.62</v>
      </c>
      <c r="E22">
        <f t="shared" si="6"/>
        <v>107617.23000000001</v>
      </c>
      <c r="F22">
        <v>29.82</v>
      </c>
      <c r="G22">
        <v>43</v>
      </c>
      <c r="H22">
        <v>1352.75</v>
      </c>
      <c r="I22">
        <v>71.8</v>
      </c>
      <c r="J22">
        <f t="shared" si="7"/>
        <v>97127.45</v>
      </c>
      <c r="K22">
        <v>29.85</v>
      </c>
      <c r="L22">
        <v>38</v>
      </c>
    </row>
    <row r="23" spans="1:15" x14ac:dyDescent="0.25">
      <c r="B23" t="s">
        <v>4</v>
      </c>
      <c r="C23">
        <f>AVERAGE(C18:C22)</f>
        <v>1578.768</v>
      </c>
      <c r="D23">
        <f t="shared" ref="D23:F23" si="8">AVERAGE(D18:D22)</f>
        <v>67.858000000000004</v>
      </c>
      <c r="E23">
        <f t="shared" si="8"/>
        <v>107130.7432</v>
      </c>
      <c r="F23">
        <f t="shared" si="8"/>
        <v>29.77</v>
      </c>
      <c r="G23">
        <f t="shared" ref="G23:K23" si="9">AVERAGE(G18:G22)</f>
        <v>39.799999999999997</v>
      </c>
      <c r="H23">
        <f t="shared" si="9"/>
        <v>1386.8939999999998</v>
      </c>
      <c r="I23">
        <f t="shared" si="9"/>
        <v>71.86</v>
      </c>
      <c r="J23">
        <f t="shared" si="9"/>
        <v>99666.716679999998</v>
      </c>
      <c r="K23">
        <f t="shared" si="9"/>
        <v>29.687999999999999</v>
      </c>
      <c r="L23">
        <f>AVERAGE(L18:L22)</f>
        <v>42</v>
      </c>
      <c r="M23" s="1">
        <f>(C23-H23)/(C23-N7)</f>
        <v>0.31854872181399851</v>
      </c>
    </row>
    <row r="25" spans="1:15" x14ac:dyDescent="0.25">
      <c r="A25" t="s">
        <v>25</v>
      </c>
      <c r="B25" t="s">
        <v>3</v>
      </c>
      <c r="C25" t="s">
        <v>6</v>
      </c>
      <c r="D25" t="s">
        <v>7</v>
      </c>
      <c r="E25" t="s">
        <v>8</v>
      </c>
      <c r="F25" t="s">
        <v>9</v>
      </c>
      <c r="G25" t="s">
        <v>13</v>
      </c>
      <c r="H25" t="s">
        <v>15</v>
      </c>
      <c r="I25" t="s">
        <v>10</v>
      </c>
      <c r="J25" t="s">
        <v>11</v>
      </c>
      <c r="K25" t="s">
        <v>12</v>
      </c>
      <c r="L25" t="s">
        <v>5</v>
      </c>
      <c r="M25" t="s">
        <v>14</v>
      </c>
      <c r="N25" t="s">
        <v>16</v>
      </c>
      <c r="O25" t="s">
        <v>19</v>
      </c>
    </row>
    <row r="26" spans="1:15" x14ac:dyDescent="0.25">
      <c r="B26">
        <v>1</v>
      </c>
      <c r="C26">
        <v>1770.81</v>
      </c>
      <c r="D26">
        <v>75.84</v>
      </c>
      <c r="E26">
        <f>C26*D26</f>
        <v>134298.2304</v>
      </c>
      <c r="F26">
        <v>29.67</v>
      </c>
      <c r="G26">
        <v>27.873999999999999</v>
      </c>
      <c r="H26">
        <v>30</v>
      </c>
      <c r="I26">
        <v>1553.57</v>
      </c>
      <c r="J26">
        <v>75.010000000000005</v>
      </c>
      <c r="K26">
        <f>I26*J26</f>
        <v>116533.28570000001</v>
      </c>
      <c r="L26">
        <v>29.69</v>
      </c>
      <c r="M26">
        <v>44.356999999999999</v>
      </c>
      <c r="N26">
        <v>31</v>
      </c>
    </row>
    <row r="27" spans="1:15" x14ac:dyDescent="0.25">
      <c r="B27">
        <v>2</v>
      </c>
      <c r="C27">
        <v>1777.12</v>
      </c>
      <c r="D27">
        <v>75.930000000000007</v>
      </c>
      <c r="E27">
        <f t="shared" ref="E27:E30" si="10">C27*D27</f>
        <v>134936.72159999999</v>
      </c>
      <c r="F27">
        <v>29.65</v>
      </c>
      <c r="G27">
        <v>26.132999999999999</v>
      </c>
      <c r="H27">
        <v>34</v>
      </c>
      <c r="I27">
        <v>1573.55</v>
      </c>
      <c r="J27">
        <v>78.02</v>
      </c>
      <c r="K27">
        <f>I27*J27</f>
        <v>122768.37099999998</v>
      </c>
      <c r="L27">
        <v>29.66</v>
      </c>
      <c r="M27">
        <v>60.118000000000002</v>
      </c>
      <c r="N27">
        <v>45</v>
      </c>
    </row>
    <row r="28" spans="1:15" x14ac:dyDescent="0.25">
      <c r="B28">
        <v>3</v>
      </c>
      <c r="C28">
        <v>1790.21</v>
      </c>
      <c r="D28">
        <v>74.650000000000006</v>
      </c>
      <c r="E28">
        <f t="shared" si="10"/>
        <v>133639.1765</v>
      </c>
      <c r="F28">
        <v>29.7</v>
      </c>
      <c r="G28">
        <v>25.044</v>
      </c>
      <c r="H28">
        <v>33</v>
      </c>
      <c r="I28">
        <v>1545.74</v>
      </c>
      <c r="J28">
        <v>78.510000000000005</v>
      </c>
      <c r="K28">
        <f>I28*J28</f>
        <v>121356.04740000001</v>
      </c>
      <c r="L28">
        <v>29.66</v>
      </c>
      <c r="M28">
        <v>44.890999999999998</v>
      </c>
      <c r="N28">
        <v>30</v>
      </c>
    </row>
    <row r="29" spans="1:15" x14ac:dyDescent="0.25">
      <c r="B29">
        <v>4</v>
      </c>
      <c r="C29">
        <v>1771.31</v>
      </c>
      <c r="D29">
        <v>74.84</v>
      </c>
      <c r="E29">
        <f t="shared" si="10"/>
        <v>132564.84040000002</v>
      </c>
      <c r="F29">
        <v>29.72</v>
      </c>
      <c r="G29">
        <v>26.917000000000002</v>
      </c>
      <c r="H29">
        <v>32</v>
      </c>
      <c r="I29">
        <v>1424.49</v>
      </c>
      <c r="J29">
        <v>91.08</v>
      </c>
      <c r="K29">
        <f t="shared" ref="K29" si="11">I29*J29</f>
        <v>129742.54919999999</v>
      </c>
      <c r="L29">
        <v>29.54</v>
      </c>
      <c r="M29">
        <v>63.442999999999998</v>
      </c>
      <c r="N29">
        <v>29</v>
      </c>
    </row>
    <row r="30" spans="1:15" x14ac:dyDescent="0.25">
      <c r="B30">
        <v>5</v>
      </c>
      <c r="C30">
        <v>1716.69</v>
      </c>
      <c r="D30">
        <v>78.319999999999993</v>
      </c>
      <c r="E30">
        <f t="shared" si="10"/>
        <v>134451.16079999998</v>
      </c>
      <c r="F30">
        <v>29.65</v>
      </c>
      <c r="G30">
        <v>25.725000000000001</v>
      </c>
      <c r="H30">
        <v>27</v>
      </c>
      <c r="I30">
        <v>1602.34</v>
      </c>
      <c r="J30">
        <v>77.92</v>
      </c>
      <c r="K30">
        <f>I30*J30</f>
        <v>124854.33279999999</v>
      </c>
      <c r="L30">
        <v>29.76</v>
      </c>
      <c r="M30">
        <v>42.825000000000003</v>
      </c>
      <c r="N30">
        <v>37</v>
      </c>
    </row>
    <row r="31" spans="1:15" x14ac:dyDescent="0.25">
      <c r="B31" t="s">
        <v>4</v>
      </c>
      <c r="C31">
        <f>AVERAGE(C26:C30)</f>
        <v>1765.2279999999998</v>
      </c>
      <c r="D31">
        <f t="shared" ref="D31:H31" si="12">AVERAGE(D26:D30)</f>
        <v>75.915999999999997</v>
      </c>
      <c r="E31">
        <f t="shared" si="12"/>
        <v>133978.02593999999</v>
      </c>
      <c r="F31">
        <f t="shared" si="12"/>
        <v>29.677999999999997</v>
      </c>
      <c r="G31">
        <f t="shared" si="12"/>
        <v>26.338600000000003</v>
      </c>
      <c r="H31">
        <f t="shared" si="12"/>
        <v>31.2</v>
      </c>
      <c r="I31">
        <f t="shared" ref="I31:N31" si="13">AVERAGE(I26:I30)</f>
        <v>1539.9379999999999</v>
      </c>
      <c r="J31">
        <f t="shared" si="13"/>
        <v>80.108000000000004</v>
      </c>
      <c r="K31">
        <f t="shared" si="13"/>
        <v>123050.91721999999</v>
      </c>
      <c r="L31">
        <f t="shared" si="13"/>
        <v>29.661999999999999</v>
      </c>
      <c r="M31">
        <f t="shared" si="13"/>
        <v>51.126799999999989</v>
      </c>
      <c r="N31">
        <f t="shared" si="13"/>
        <v>34.4</v>
      </c>
      <c r="O31" s="1">
        <f>(C31-I31)/(C31-N7)</f>
        <v>0.28561177893453077</v>
      </c>
    </row>
    <row r="33" spans="1:11" x14ac:dyDescent="0.25">
      <c r="A33" t="s">
        <v>27</v>
      </c>
      <c r="B33" t="s">
        <v>28</v>
      </c>
      <c r="C33" t="s">
        <v>6</v>
      </c>
      <c r="D33" t="s">
        <v>7</v>
      </c>
      <c r="E33" t="s">
        <v>8</v>
      </c>
      <c r="F33" t="s">
        <v>13</v>
      </c>
      <c r="G33" t="s">
        <v>10</v>
      </c>
      <c r="H33" t="s">
        <v>11</v>
      </c>
      <c r="I33" t="s">
        <v>12</v>
      </c>
      <c r="J33" t="s">
        <v>14</v>
      </c>
      <c r="K33" t="s">
        <v>19</v>
      </c>
    </row>
    <row r="34" spans="1:11" x14ac:dyDescent="0.25">
      <c r="B34">
        <v>1</v>
      </c>
      <c r="C34">
        <v>1596.08</v>
      </c>
      <c r="D34">
        <v>29.9</v>
      </c>
      <c r="E34">
        <f>C34*D34</f>
        <v>47722.791999999994</v>
      </c>
      <c r="F34">
        <v>21.573</v>
      </c>
      <c r="G34">
        <v>1134.3399999999999</v>
      </c>
      <c r="H34">
        <v>37.42</v>
      </c>
      <c r="I34">
        <f>G34*H34</f>
        <v>42447.002800000002</v>
      </c>
      <c r="J34">
        <v>28.451000000000001</v>
      </c>
    </row>
    <row r="35" spans="1:11" x14ac:dyDescent="0.25">
      <c r="B35">
        <v>2</v>
      </c>
      <c r="C35">
        <v>1573.39</v>
      </c>
      <c r="D35">
        <v>28.52</v>
      </c>
      <c r="E35">
        <f t="shared" ref="E35:E38" si="14">C35*D35</f>
        <v>44873.082800000004</v>
      </c>
      <c r="F35">
        <v>21.117999999999999</v>
      </c>
      <c r="G35">
        <v>1230.8599999999999</v>
      </c>
      <c r="H35">
        <v>34.159999999999997</v>
      </c>
      <c r="I35">
        <f>G35*H35</f>
        <v>42046.177599999995</v>
      </c>
      <c r="J35">
        <v>25.443999999999999</v>
      </c>
    </row>
    <row r="36" spans="1:11" x14ac:dyDescent="0.25">
      <c r="B36">
        <v>3</v>
      </c>
      <c r="C36">
        <v>1542.9</v>
      </c>
      <c r="D36">
        <v>27.13</v>
      </c>
      <c r="E36">
        <f t="shared" si="14"/>
        <v>41858.877</v>
      </c>
      <c r="F36">
        <v>19.809999999999999</v>
      </c>
      <c r="G36">
        <v>1221.48</v>
      </c>
      <c r="H36">
        <v>34.25</v>
      </c>
      <c r="I36">
        <f>G36*H36</f>
        <v>41835.69</v>
      </c>
      <c r="J36">
        <v>26.001000000000001</v>
      </c>
    </row>
    <row r="37" spans="1:11" x14ac:dyDescent="0.25">
      <c r="B37">
        <v>4</v>
      </c>
      <c r="C37">
        <v>1556.7</v>
      </c>
      <c r="D37">
        <v>26.43</v>
      </c>
      <c r="E37">
        <f t="shared" si="14"/>
        <v>41143.580999999998</v>
      </c>
      <c r="F37">
        <v>18.768000000000001</v>
      </c>
      <c r="G37">
        <v>1289.47</v>
      </c>
      <c r="H37">
        <v>31.78</v>
      </c>
      <c r="I37">
        <f>G37*H37</f>
        <v>40979.356599999999</v>
      </c>
      <c r="J37">
        <v>23.472999999999999</v>
      </c>
    </row>
    <row r="38" spans="1:11" x14ac:dyDescent="0.25">
      <c r="B38">
        <v>5</v>
      </c>
      <c r="C38">
        <v>1577.99</v>
      </c>
      <c r="D38">
        <v>26.43</v>
      </c>
      <c r="E38">
        <f t="shared" si="14"/>
        <v>41706.275699999998</v>
      </c>
      <c r="F38">
        <v>18.856000000000002</v>
      </c>
      <c r="G38">
        <v>1212.53</v>
      </c>
      <c r="H38">
        <v>35.44</v>
      </c>
      <c r="I38">
        <f>G38*H38</f>
        <v>42972.063199999997</v>
      </c>
      <c r="J38">
        <v>25.975999999999999</v>
      </c>
    </row>
    <row r="39" spans="1:11" x14ac:dyDescent="0.25">
      <c r="B39" t="s">
        <v>4</v>
      </c>
      <c r="C39">
        <f>AVERAGE(C34:C38)</f>
        <v>1569.412</v>
      </c>
      <c r="D39">
        <f t="shared" ref="D39:J39" si="15">AVERAGE(D34:D38)</f>
        <v>27.681999999999999</v>
      </c>
      <c r="E39">
        <f t="shared" si="15"/>
        <v>43460.921699999999</v>
      </c>
      <c r="F39">
        <f t="shared" si="15"/>
        <v>20.024999999999999</v>
      </c>
      <c r="G39">
        <f t="shared" si="15"/>
        <v>1217.7359999999999</v>
      </c>
      <c r="H39">
        <f t="shared" si="15"/>
        <v>34.61</v>
      </c>
      <c r="I39">
        <f t="shared" si="15"/>
        <v>42056.058040000004</v>
      </c>
      <c r="J39">
        <f t="shared" si="15"/>
        <v>25.869</v>
      </c>
      <c r="K39" s="1">
        <f>((C39-M7)*D39-(G39-M7)*H39)/((C39-M7)*D39)</f>
        <v>0.21205773235353384</v>
      </c>
    </row>
    <row r="41" spans="1:11" x14ac:dyDescent="0.25">
      <c r="A41" t="s">
        <v>29</v>
      </c>
      <c r="B41" t="s">
        <v>30</v>
      </c>
      <c r="C41" t="s">
        <v>6</v>
      </c>
      <c r="D41" t="s">
        <v>7</v>
      </c>
      <c r="E41" t="s">
        <v>8</v>
      </c>
      <c r="F41" t="s">
        <v>15</v>
      </c>
      <c r="G41" t="s">
        <v>10</v>
      </c>
      <c r="H41" t="s">
        <v>11</v>
      </c>
      <c r="I41" t="s">
        <v>12</v>
      </c>
      <c r="J41" t="s">
        <v>16</v>
      </c>
      <c r="K41" t="s">
        <v>19</v>
      </c>
    </row>
    <row r="42" spans="1:11" x14ac:dyDescent="0.25">
      <c r="B42">
        <v>1</v>
      </c>
      <c r="C42">
        <v>1527.24</v>
      </c>
      <c r="D42">
        <v>41.28</v>
      </c>
      <c r="E42">
        <f>C42*D42</f>
        <v>63044.467199999999</v>
      </c>
      <c r="F42">
        <v>35</v>
      </c>
      <c r="G42">
        <v>1111.24</v>
      </c>
      <c r="H42">
        <v>44.55</v>
      </c>
      <c r="I42">
        <f>G42*H42</f>
        <v>49505.741999999998</v>
      </c>
      <c r="J42">
        <v>38</v>
      </c>
    </row>
    <row r="43" spans="1:11" x14ac:dyDescent="0.25">
      <c r="B43">
        <v>2</v>
      </c>
      <c r="C43">
        <v>1565.02</v>
      </c>
      <c r="D43">
        <v>41.19</v>
      </c>
      <c r="E43">
        <f t="shared" ref="E43:E46" si="16">C43*D43</f>
        <v>64463.173799999997</v>
      </c>
      <c r="F43">
        <v>35</v>
      </c>
      <c r="G43">
        <v>1179.6199999999999</v>
      </c>
      <c r="H43">
        <v>37.82</v>
      </c>
      <c r="I43">
        <f t="shared" ref="I43:I46" si="17">G43*H43</f>
        <v>44613.228399999993</v>
      </c>
      <c r="J43">
        <v>32</v>
      </c>
    </row>
    <row r="44" spans="1:11" x14ac:dyDescent="0.25">
      <c r="B44">
        <v>3</v>
      </c>
      <c r="C44">
        <v>1349.06</v>
      </c>
      <c r="D44">
        <v>47.72</v>
      </c>
      <c r="E44">
        <f t="shared" si="16"/>
        <v>64377.143199999999</v>
      </c>
      <c r="F44">
        <v>42</v>
      </c>
      <c r="G44">
        <v>1235.18</v>
      </c>
      <c r="H44">
        <v>34.35</v>
      </c>
      <c r="I44">
        <f t="shared" si="17"/>
        <v>42428.433000000005</v>
      </c>
      <c r="J44">
        <v>28</v>
      </c>
    </row>
    <row r="45" spans="1:11" x14ac:dyDescent="0.25">
      <c r="B45">
        <v>4</v>
      </c>
      <c r="C45">
        <v>1460.68</v>
      </c>
      <c r="D45">
        <v>46.63</v>
      </c>
      <c r="E45">
        <f t="shared" si="16"/>
        <v>68111.508400000006</v>
      </c>
      <c r="F45">
        <v>41</v>
      </c>
      <c r="G45">
        <v>1120.68</v>
      </c>
      <c r="H45">
        <v>43.56</v>
      </c>
      <c r="I45">
        <f t="shared" si="17"/>
        <v>48816.820800000009</v>
      </c>
      <c r="J45">
        <v>38</v>
      </c>
    </row>
    <row r="46" spans="1:11" x14ac:dyDescent="0.25">
      <c r="B46">
        <v>5</v>
      </c>
      <c r="C46">
        <v>1589.92</v>
      </c>
      <c r="D46">
        <v>37.729999999999997</v>
      </c>
      <c r="E46">
        <f t="shared" si="16"/>
        <v>59987.681599999996</v>
      </c>
      <c r="F46">
        <v>31</v>
      </c>
      <c r="G46">
        <v>1114.57</v>
      </c>
      <c r="H46">
        <v>38.71</v>
      </c>
      <c r="I46">
        <f t="shared" si="17"/>
        <v>43145.004699999998</v>
      </c>
      <c r="J46">
        <v>33</v>
      </c>
    </row>
    <row r="47" spans="1:11" x14ac:dyDescent="0.25">
      <c r="B47" t="s">
        <v>4</v>
      </c>
      <c r="C47">
        <f>AVERAGE(C42:C46)</f>
        <v>1498.384</v>
      </c>
      <c r="D47">
        <f t="shared" ref="D47:J47" si="18">AVERAGE(D42:D46)</f>
        <v>42.91</v>
      </c>
      <c r="E47">
        <f t="shared" si="18"/>
        <v>63996.794840000002</v>
      </c>
      <c r="F47">
        <f t="shared" si="18"/>
        <v>36.799999999999997</v>
      </c>
      <c r="G47">
        <f t="shared" si="18"/>
        <v>1152.258</v>
      </c>
      <c r="H47">
        <f t="shared" si="18"/>
        <v>39.798000000000002</v>
      </c>
      <c r="I47">
        <f t="shared" si="18"/>
        <v>45701.845780000003</v>
      </c>
      <c r="J47">
        <f t="shared" si="18"/>
        <v>33.799999999999997</v>
      </c>
      <c r="K47" s="1">
        <f>((C47-N7)*D47-(G47-N7)*H47)/((C47-N7)*D47)</f>
        <v>0.68756582005237576</v>
      </c>
    </row>
    <row r="48" spans="1:11" x14ac:dyDescent="0.25">
      <c r="K48" s="1"/>
    </row>
    <row r="49" spans="1:13" x14ac:dyDescent="0.25">
      <c r="A49" t="s">
        <v>52</v>
      </c>
      <c r="B49" t="s">
        <v>53</v>
      </c>
      <c r="C49" t="s">
        <v>6</v>
      </c>
      <c r="D49" t="s">
        <v>54</v>
      </c>
      <c r="E49" t="s">
        <v>55</v>
      </c>
      <c r="F49" t="s">
        <v>56</v>
      </c>
      <c r="G49" t="s">
        <v>57</v>
      </c>
      <c r="H49" t="s">
        <v>58</v>
      </c>
      <c r="I49" t="s">
        <v>59</v>
      </c>
      <c r="J49" t="s">
        <v>60</v>
      </c>
      <c r="K49" t="s">
        <v>61</v>
      </c>
      <c r="L49" t="s">
        <v>62</v>
      </c>
      <c r="M49" t="s">
        <v>63</v>
      </c>
    </row>
    <row r="50" spans="1:13" x14ac:dyDescent="0.25">
      <c r="B50">
        <v>1</v>
      </c>
      <c r="C50">
        <v>1751.36</v>
      </c>
      <c r="D50">
        <v>61.19</v>
      </c>
      <c r="E50">
        <f>C50*D50</f>
        <v>107165.71839999998</v>
      </c>
      <c r="F50">
        <v>22.117999999999999</v>
      </c>
      <c r="G50">
        <v>55</v>
      </c>
      <c r="H50">
        <v>1388.21</v>
      </c>
      <c r="I50">
        <v>59.9</v>
      </c>
      <c r="J50">
        <f>H50*I50</f>
        <v>83153.778999999995</v>
      </c>
      <c r="K50">
        <v>45.515999999999998</v>
      </c>
      <c r="L50">
        <v>40</v>
      </c>
    </row>
    <row r="51" spans="1:13" x14ac:dyDescent="0.25">
      <c r="B51">
        <v>2</v>
      </c>
      <c r="C51">
        <v>1775.27</v>
      </c>
      <c r="D51">
        <v>56.63</v>
      </c>
      <c r="E51">
        <f t="shared" ref="E51:E54" si="19">C51*D51</f>
        <v>100533.5401</v>
      </c>
      <c r="F51">
        <v>21.861000000000001</v>
      </c>
      <c r="G51">
        <v>50</v>
      </c>
      <c r="H51">
        <v>1466.18</v>
      </c>
      <c r="I51">
        <v>65.64</v>
      </c>
      <c r="J51">
        <f t="shared" ref="J51:J54" si="20">H51*I51</f>
        <v>96240.055200000003</v>
      </c>
      <c r="K51">
        <v>24.448</v>
      </c>
      <c r="L51">
        <v>58</v>
      </c>
    </row>
    <row r="52" spans="1:13" x14ac:dyDescent="0.25">
      <c r="B52">
        <v>3</v>
      </c>
      <c r="C52">
        <v>1831.43</v>
      </c>
      <c r="D52">
        <v>55.25</v>
      </c>
      <c r="E52">
        <f t="shared" si="19"/>
        <v>101186.50750000001</v>
      </c>
      <c r="F52">
        <v>22.285</v>
      </c>
      <c r="G52">
        <v>48</v>
      </c>
      <c r="H52">
        <v>1334.91</v>
      </c>
      <c r="I52">
        <v>76.819999999999993</v>
      </c>
      <c r="J52">
        <f t="shared" si="20"/>
        <v>102547.7862</v>
      </c>
      <c r="K52">
        <v>48.204999999999998</v>
      </c>
      <c r="L52">
        <v>71</v>
      </c>
    </row>
    <row r="53" spans="1:13" x14ac:dyDescent="0.25">
      <c r="B53">
        <v>4</v>
      </c>
      <c r="C53">
        <v>1706.76</v>
      </c>
      <c r="D53">
        <v>64.56</v>
      </c>
      <c r="E53">
        <f t="shared" si="19"/>
        <v>110188.4256</v>
      </c>
      <c r="F53">
        <v>21.081</v>
      </c>
      <c r="G53">
        <v>58</v>
      </c>
      <c r="H53">
        <v>1451.21</v>
      </c>
      <c r="I53">
        <v>62.37</v>
      </c>
      <c r="J53">
        <f t="shared" si="20"/>
        <v>90511.967699999994</v>
      </c>
      <c r="K53">
        <v>40.448</v>
      </c>
      <c r="L53">
        <v>56</v>
      </c>
    </row>
    <row r="54" spans="1:13" x14ac:dyDescent="0.25">
      <c r="B54">
        <v>5</v>
      </c>
      <c r="C54">
        <v>1718.24</v>
      </c>
      <c r="D54">
        <v>59.8</v>
      </c>
      <c r="E54">
        <f t="shared" si="19"/>
        <v>102750.75199999999</v>
      </c>
      <c r="F54">
        <v>22.783999999999999</v>
      </c>
      <c r="G54">
        <v>54</v>
      </c>
      <c r="H54">
        <v>1623.95</v>
      </c>
      <c r="I54">
        <v>53.06</v>
      </c>
      <c r="J54">
        <f t="shared" si="20"/>
        <v>86166.787000000011</v>
      </c>
      <c r="K54">
        <v>26.036999999999999</v>
      </c>
      <c r="L54">
        <v>45</v>
      </c>
    </row>
    <row r="55" spans="1:13" x14ac:dyDescent="0.25">
      <c r="B55" t="s">
        <v>4</v>
      </c>
      <c r="C55">
        <f>AVERAGE(C50:C54)</f>
        <v>1756.6120000000003</v>
      </c>
      <c r="D55">
        <f t="shared" ref="D55:L55" si="21">AVERAGE(D50:D54)</f>
        <v>59.486000000000004</v>
      </c>
      <c r="E55">
        <f t="shared" si="21"/>
        <v>104364.98871999999</v>
      </c>
      <c r="F55">
        <f t="shared" si="21"/>
        <v>22.025799999999997</v>
      </c>
      <c r="G55">
        <f t="shared" si="21"/>
        <v>53</v>
      </c>
      <c r="H55">
        <f t="shared" si="21"/>
        <v>1452.8920000000001</v>
      </c>
      <c r="I55">
        <f t="shared" si="21"/>
        <v>63.557999999999993</v>
      </c>
      <c r="J55">
        <f t="shared" si="21"/>
        <v>91724.075020000004</v>
      </c>
      <c r="K55">
        <f t="shared" si="21"/>
        <v>36.930799999999998</v>
      </c>
      <c r="L55">
        <f t="shared" si="21"/>
        <v>54</v>
      </c>
      <c r="M55" s="1">
        <f>1-((H55-M23)*I55)/((C55-M23)*D55)</f>
        <v>0.11631704892791006</v>
      </c>
    </row>
    <row r="57" spans="1:13" x14ac:dyDescent="0.25">
      <c r="A57" t="s">
        <v>26</v>
      </c>
      <c r="C57" t="s">
        <v>6</v>
      </c>
      <c r="D57" t="s">
        <v>20</v>
      </c>
      <c r="E57" t="s">
        <v>8</v>
      </c>
      <c r="F57" t="s">
        <v>34</v>
      </c>
      <c r="G57" t="s">
        <v>10</v>
      </c>
      <c r="H57" t="s">
        <v>21</v>
      </c>
      <c r="I57" t="s">
        <v>12</v>
      </c>
      <c r="J57" t="s">
        <v>34</v>
      </c>
      <c r="K57" t="s">
        <v>36</v>
      </c>
      <c r="L57" t="s">
        <v>37</v>
      </c>
    </row>
    <row r="58" spans="1:13" x14ac:dyDescent="0.25">
      <c r="B58">
        <v>1</v>
      </c>
      <c r="C58">
        <v>1222.6199999999999</v>
      </c>
      <c r="D58">
        <v>32.57</v>
      </c>
      <c r="E58">
        <f>C58*D58</f>
        <v>39820.733399999997</v>
      </c>
      <c r="F58">
        <f>(198+119+131+128+130+220+158+107+152+155)/10</f>
        <v>149.80000000000001</v>
      </c>
      <c r="G58">
        <v>1053.53</v>
      </c>
      <c r="H58">
        <v>37.82</v>
      </c>
      <c r="I58">
        <f>G58*H58</f>
        <v>39844.5046</v>
      </c>
      <c r="J58">
        <f>(133+162+112+130+193+124+121+180+99+118)/10</f>
        <v>137.19999999999999</v>
      </c>
    </row>
    <row r="59" spans="1:13" x14ac:dyDescent="0.25">
      <c r="B59">
        <v>2</v>
      </c>
      <c r="C59">
        <v>1212.2</v>
      </c>
      <c r="D59">
        <v>31.78</v>
      </c>
      <c r="E59">
        <f t="shared" ref="E59:E60" si="22">C59*D59</f>
        <v>38523.716</v>
      </c>
      <c r="F59">
        <f>(162+86+106+133+178+140+109+127+122+175)/10</f>
        <v>133.80000000000001</v>
      </c>
      <c r="G59">
        <v>1017.61</v>
      </c>
      <c r="H59">
        <v>37.270000000000003</v>
      </c>
      <c r="I59">
        <f t="shared" ref="I59:I60" si="23">G59*H59</f>
        <v>37926.324700000005</v>
      </c>
      <c r="J59">
        <f>(166+148+124+120+160+106+122+140+130+168)/10</f>
        <v>138.4</v>
      </c>
    </row>
    <row r="60" spans="1:13" x14ac:dyDescent="0.25">
      <c r="B60">
        <v>3</v>
      </c>
      <c r="C60">
        <v>1201.6300000000001</v>
      </c>
      <c r="D60">
        <v>31.79</v>
      </c>
      <c r="E60">
        <f t="shared" si="22"/>
        <v>38199.8177</v>
      </c>
      <c r="F60">
        <f>(170+116+198+115+102+215+141+180+126+106)/10</f>
        <v>146.9</v>
      </c>
      <c r="G60">
        <v>1080.07</v>
      </c>
      <c r="H60">
        <v>38.42</v>
      </c>
      <c r="I60">
        <f t="shared" si="23"/>
        <v>41496.289400000001</v>
      </c>
      <c r="J60">
        <f>(175+106+199+107+141+157+106+131+141+160)/10</f>
        <v>142.30000000000001</v>
      </c>
    </row>
    <row r="61" spans="1:13" x14ac:dyDescent="0.25">
      <c r="B61" t="s">
        <v>35</v>
      </c>
      <c r="C61">
        <f>AVERAGE(C58:C60)</f>
        <v>1212.1499999999999</v>
      </c>
      <c r="D61">
        <f t="shared" ref="D61:F61" si="24">AVERAGE(D58:D60)</f>
        <v>32.04666666666666</v>
      </c>
      <c r="E61">
        <f t="shared" si="24"/>
        <v>38848.08903333333</v>
      </c>
      <c r="F61">
        <f t="shared" si="24"/>
        <v>143.5</v>
      </c>
      <c r="G61">
        <f>AVERAGE(G58:G60)</f>
        <v>1050.4033333333334</v>
      </c>
      <c r="H61">
        <f>AVERAGE(H58:H60)</f>
        <v>37.836666666666666</v>
      </c>
      <c r="I61">
        <f>AVERAGE(I58:I60)</f>
        <v>39755.706233333338</v>
      </c>
      <c r="J61">
        <f>AVERAGE(J58:J60)</f>
        <v>139.30000000000001</v>
      </c>
      <c r="K61" s="1">
        <f>(C61-G61)/C61</f>
        <v>0.13343783085151711</v>
      </c>
      <c r="L61" s="1">
        <f>1-J61/F61</f>
        <v>2.9268292682926744E-2</v>
      </c>
    </row>
    <row r="63" spans="1:13" x14ac:dyDescent="0.25">
      <c r="A63" t="s">
        <v>38</v>
      </c>
      <c r="B63" t="s">
        <v>39</v>
      </c>
      <c r="C63" t="s">
        <v>6</v>
      </c>
      <c r="D63" t="s">
        <v>7</v>
      </c>
      <c r="E63" t="s">
        <v>8</v>
      </c>
      <c r="F63" t="s">
        <v>13</v>
      </c>
      <c r="G63" t="s">
        <v>34</v>
      </c>
      <c r="H63" t="s">
        <v>10</v>
      </c>
      <c r="I63" t="s">
        <v>11</v>
      </c>
      <c r="J63" t="s">
        <v>12</v>
      </c>
      <c r="K63" t="s">
        <v>14</v>
      </c>
      <c r="L63" t="s">
        <v>34</v>
      </c>
      <c r="M63" t="s">
        <v>19</v>
      </c>
    </row>
    <row r="64" spans="1:13" x14ac:dyDescent="0.25">
      <c r="B64">
        <v>1</v>
      </c>
      <c r="C64">
        <v>1791.74</v>
      </c>
      <c r="D64">
        <v>41.28</v>
      </c>
      <c r="E64">
        <f>C64*D64</f>
        <v>73963.027199999997</v>
      </c>
      <c r="F64">
        <v>22.969000000000001</v>
      </c>
      <c r="G64">
        <f>(142+107+112+90+96+335+104+109+114+195)/10</f>
        <v>140.4</v>
      </c>
      <c r="H64">
        <v>1352.95</v>
      </c>
      <c r="I64">
        <v>52.37</v>
      </c>
      <c r="J64">
        <f>H64*I64</f>
        <v>70853.991500000004</v>
      </c>
      <c r="K64">
        <v>41.55</v>
      </c>
      <c r="L64">
        <f>(113+121+103+166+110+90+89+160+99+98)/10</f>
        <v>114.9</v>
      </c>
    </row>
    <row r="65" spans="1:15" x14ac:dyDescent="0.25">
      <c r="B65">
        <v>2</v>
      </c>
      <c r="C65">
        <v>1718.75</v>
      </c>
      <c r="D65">
        <v>41.28</v>
      </c>
      <c r="E65">
        <f>C65*D65</f>
        <v>70950</v>
      </c>
      <c r="F65">
        <v>21.016999999999999</v>
      </c>
      <c r="G65">
        <f>(138+113+113+104+185+130+81+122+125+112)/10</f>
        <v>122.3</v>
      </c>
      <c r="H65">
        <v>1007.49</v>
      </c>
      <c r="I65">
        <v>77.92</v>
      </c>
      <c r="J65">
        <f t="shared" ref="J65:J68" si="25">H65*I65</f>
        <v>78503.620800000004</v>
      </c>
      <c r="K65">
        <v>66.402000000000001</v>
      </c>
      <c r="L65">
        <f>(153+138+141+126+145+130+125+134+122+117)/10</f>
        <v>133.1</v>
      </c>
    </row>
    <row r="66" spans="1:15" x14ac:dyDescent="0.25">
      <c r="B66">
        <v>3</v>
      </c>
      <c r="C66">
        <v>1717.8</v>
      </c>
      <c r="D66">
        <v>40</v>
      </c>
      <c r="E66">
        <f t="shared" ref="E66:E68" si="26">C66*D66</f>
        <v>68712</v>
      </c>
      <c r="F66">
        <v>22.097000000000001</v>
      </c>
      <c r="G66">
        <f>(141+114+83+114+113+133+97+108+144+109)/10</f>
        <v>115.6</v>
      </c>
      <c r="H66">
        <v>1203.67</v>
      </c>
      <c r="I66">
        <v>54.95</v>
      </c>
      <c r="J66">
        <f t="shared" si="25"/>
        <v>66141.666500000007</v>
      </c>
      <c r="K66">
        <v>45.69</v>
      </c>
      <c r="L66">
        <f>(125+105+101+115+113+115+99+115+104+123)/10</f>
        <v>111.5</v>
      </c>
    </row>
    <row r="67" spans="1:15" x14ac:dyDescent="0.25">
      <c r="B67">
        <v>4</v>
      </c>
      <c r="C67">
        <v>1717.36</v>
      </c>
      <c r="D67">
        <v>43.56</v>
      </c>
      <c r="E67">
        <f t="shared" si="26"/>
        <v>74808.2016</v>
      </c>
      <c r="F67">
        <v>22.651</v>
      </c>
      <c r="G67">
        <f>(318+82+104+115+111+138+85+107+138+143)/10</f>
        <v>134.1</v>
      </c>
      <c r="H67">
        <v>1158.53</v>
      </c>
      <c r="I67">
        <v>61.18</v>
      </c>
      <c r="J67">
        <f t="shared" si="25"/>
        <v>70878.865399999995</v>
      </c>
      <c r="K67">
        <v>50.575000000000003</v>
      </c>
      <c r="L67">
        <f>(149+118+119+126+148+114+140+125+116+132)/10</f>
        <v>128.69999999999999</v>
      </c>
    </row>
    <row r="68" spans="1:15" x14ac:dyDescent="0.25">
      <c r="B68">
        <v>5</v>
      </c>
      <c r="C68">
        <v>1781.03</v>
      </c>
      <c r="D68">
        <v>39.700000000000003</v>
      </c>
      <c r="E68">
        <f t="shared" si="26"/>
        <v>70706.891000000003</v>
      </c>
      <c r="F68">
        <v>23.774999999999999</v>
      </c>
      <c r="G68">
        <f>(202+99+99+83+95+89+90+124+185+147)/10</f>
        <v>121.3</v>
      </c>
      <c r="H68">
        <v>1288.04</v>
      </c>
      <c r="I68">
        <v>60.99</v>
      </c>
      <c r="J68">
        <f t="shared" si="25"/>
        <v>78557.559599999993</v>
      </c>
      <c r="K68">
        <v>38.768999999999998</v>
      </c>
      <c r="L68">
        <f>(185+94+216+190+104+88+107+93+105)/10</f>
        <v>118.2</v>
      </c>
    </row>
    <row r="69" spans="1:15" x14ac:dyDescent="0.25">
      <c r="B69" t="s">
        <v>40</v>
      </c>
      <c r="C69">
        <f t="shared" ref="C69:D69" si="27">AVERAGE(C64:C68)</f>
        <v>1745.336</v>
      </c>
      <c r="D69">
        <f t="shared" si="27"/>
        <v>41.164000000000001</v>
      </c>
      <c r="E69">
        <f>AVERAGE(E64:E68)</f>
        <v>71828.023960000006</v>
      </c>
      <c r="F69">
        <f t="shared" ref="F69" si="28">AVERAGE(F64:F68)</f>
        <v>22.501799999999996</v>
      </c>
      <c r="G69">
        <f t="shared" ref="G69:L69" si="29">AVERAGE(G64:G68)</f>
        <v>126.73999999999998</v>
      </c>
      <c r="H69">
        <f t="shared" si="29"/>
        <v>1202.136</v>
      </c>
      <c r="I69">
        <f t="shared" si="29"/>
        <v>61.482000000000006</v>
      </c>
      <c r="J69">
        <f t="shared" si="29"/>
        <v>72987.140760000009</v>
      </c>
      <c r="K69">
        <f t="shared" si="29"/>
        <v>48.597200000000001</v>
      </c>
      <c r="L69">
        <f t="shared" si="29"/>
        <v>121.28</v>
      </c>
      <c r="M69" s="1">
        <f>1-((H69-M7)*I69)/((C69-M7)*D69)</f>
        <v>0.22633040146456673</v>
      </c>
    </row>
    <row r="71" spans="1:15" x14ac:dyDescent="0.25">
      <c r="A71" t="s">
        <v>32</v>
      </c>
      <c r="B71" t="s">
        <v>33</v>
      </c>
      <c r="C71" t="s">
        <v>6</v>
      </c>
      <c r="D71" t="s">
        <v>7</v>
      </c>
      <c r="E71" t="s">
        <v>8</v>
      </c>
      <c r="F71" t="s">
        <v>15</v>
      </c>
      <c r="G71" t="s">
        <v>34</v>
      </c>
      <c r="H71" t="s">
        <v>10</v>
      </c>
      <c r="I71" t="s">
        <v>11</v>
      </c>
      <c r="J71" t="s">
        <v>12</v>
      </c>
      <c r="K71" t="s">
        <v>16</v>
      </c>
      <c r="L71" t="s">
        <v>34</v>
      </c>
      <c r="M71" t="s">
        <v>19</v>
      </c>
    </row>
    <row r="72" spans="1:15" x14ac:dyDescent="0.25">
      <c r="B72">
        <v>1</v>
      </c>
      <c r="C72">
        <v>1880.23</v>
      </c>
      <c r="D72">
        <v>42.08</v>
      </c>
      <c r="E72">
        <f>C72*D72</f>
        <v>79120.078399999999</v>
      </c>
      <c r="F72">
        <v>21</v>
      </c>
      <c r="G72">
        <f>(338+197+165+120+140+136+215+154+132+132)/10</f>
        <v>172.9</v>
      </c>
      <c r="H72">
        <v>1345.67</v>
      </c>
      <c r="I72">
        <v>47.42</v>
      </c>
      <c r="J72">
        <f>H72*I72</f>
        <v>63811.671400000007</v>
      </c>
      <c r="K72">
        <v>29</v>
      </c>
      <c r="L72">
        <f>(203+234+135+274+165+166+159+166+156)/10</f>
        <v>165.8</v>
      </c>
    </row>
    <row r="73" spans="1:15" x14ac:dyDescent="0.25">
      <c r="B73">
        <v>2</v>
      </c>
      <c r="C73">
        <v>1916.23</v>
      </c>
      <c r="D73">
        <v>40.89</v>
      </c>
      <c r="E73">
        <f>C73*D73</f>
        <v>78354.644700000004</v>
      </c>
      <c r="F73">
        <v>23</v>
      </c>
      <c r="G73">
        <f>(151+124+192+193+142+163+132+233+163+142)/10</f>
        <v>163.5</v>
      </c>
      <c r="H73">
        <v>1377.6</v>
      </c>
      <c r="I73">
        <v>50.69</v>
      </c>
      <c r="J73">
        <f>H73*I73</f>
        <v>69830.543999999994</v>
      </c>
      <c r="K73">
        <v>27</v>
      </c>
      <c r="L73">
        <f>(223+239+160+211+274+145+142+128+148+123)/10</f>
        <v>179.3</v>
      </c>
    </row>
    <row r="74" spans="1:15" x14ac:dyDescent="0.25">
      <c r="B74">
        <v>3</v>
      </c>
      <c r="C74">
        <v>1790.49</v>
      </c>
      <c r="D74">
        <v>43.26</v>
      </c>
      <c r="E74">
        <f t="shared" ref="E74:E76" si="30">C74*D74</f>
        <v>77456.597399999999</v>
      </c>
      <c r="F74">
        <v>19</v>
      </c>
      <c r="G74">
        <f>(271+232+159+128+194+130+146+198+138+135)/10</f>
        <v>173.1</v>
      </c>
      <c r="H74">
        <v>1540.88</v>
      </c>
      <c r="I74">
        <v>44.75</v>
      </c>
      <c r="J74">
        <f>H74*I74</f>
        <v>68954.38</v>
      </c>
      <c r="K74">
        <v>33</v>
      </c>
      <c r="L74">
        <f>(217+144+152+155+199+140+133+146+137+109)/10</f>
        <v>153.19999999999999</v>
      </c>
    </row>
    <row r="75" spans="1:15" x14ac:dyDescent="0.25">
      <c r="B75">
        <v>4</v>
      </c>
      <c r="C75">
        <v>1892.38</v>
      </c>
      <c r="D75">
        <v>41.38</v>
      </c>
      <c r="E75">
        <f t="shared" si="30"/>
        <v>78306.684400000013</v>
      </c>
      <c r="F75">
        <v>22</v>
      </c>
      <c r="G75">
        <f>(184+127+184+175+151+129+108+215+155+195)/10</f>
        <v>162.30000000000001</v>
      </c>
      <c r="H75">
        <v>1775.32</v>
      </c>
      <c r="I75">
        <v>41.79</v>
      </c>
      <c r="J75">
        <f t="shared" ref="J75:J76" si="31">H75*I75</f>
        <v>74190.622799999997</v>
      </c>
      <c r="K75">
        <v>20</v>
      </c>
      <c r="L75">
        <f>(183+110+137+123+130+114+156+100+190+100)/10</f>
        <v>134.30000000000001</v>
      </c>
    </row>
    <row r="76" spans="1:15" x14ac:dyDescent="0.25">
      <c r="B76">
        <v>5</v>
      </c>
      <c r="C76">
        <v>1941.52</v>
      </c>
      <c r="D76">
        <v>40.11</v>
      </c>
      <c r="E76">
        <f t="shared" si="30"/>
        <v>77874.367199999993</v>
      </c>
      <c r="F76">
        <v>22</v>
      </c>
      <c r="G76">
        <f>(187+142+192+134+144+197+109+157+246+152)/10</f>
        <v>166</v>
      </c>
      <c r="H76">
        <v>1441.07</v>
      </c>
      <c r="I76">
        <v>46.34</v>
      </c>
      <c r="J76">
        <f t="shared" si="31"/>
        <v>66779.183799999999</v>
      </c>
      <c r="K76">
        <v>31</v>
      </c>
      <c r="L76">
        <f>(200+185+266+151+183+196+120+223+142+127)/10</f>
        <v>179.3</v>
      </c>
    </row>
    <row r="77" spans="1:15" x14ac:dyDescent="0.25">
      <c r="B77" t="s">
        <v>31</v>
      </c>
      <c r="C77">
        <f t="shared" ref="C77:L77" si="32">AVERAGE(C72:C76)</f>
        <v>1884.17</v>
      </c>
      <c r="D77">
        <f t="shared" si="32"/>
        <v>41.543999999999997</v>
      </c>
      <c r="E77">
        <f t="shared" si="32"/>
        <v>78222.474419999999</v>
      </c>
      <c r="F77">
        <f t="shared" si="32"/>
        <v>21.4</v>
      </c>
      <c r="G77">
        <f t="shared" si="32"/>
        <v>167.56</v>
      </c>
      <c r="H77">
        <f t="shared" si="32"/>
        <v>1496.1079999999997</v>
      </c>
      <c r="I77">
        <f t="shared" si="32"/>
        <v>46.198</v>
      </c>
      <c r="J77">
        <f t="shared" si="32"/>
        <v>68713.280400000003</v>
      </c>
      <c r="K77">
        <f t="shared" si="32"/>
        <v>28</v>
      </c>
      <c r="L77">
        <f t="shared" si="32"/>
        <v>162.38000000000002</v>
      </c>
      <c r="M77" s="1">
        <f>((C77-N7)*D77-(H77-N7)*I77)/((C77-N7)*D77)</f>
        <v>0.36336908613270408</v>
      </c>
    </row>
    <row r="79" spans="1:15" x14ac:dyDescent="0.25">
      <c r="A79" t="s">
        <v>41</v>
      </c>
      <c r="B79" t="s">
        <v>42</v>
      </c>
      <c r="C79" t="s">
        <v>6</v>
      </c>
      <c r="D79" t="s">
        <v>7</v>
      </c>
      <c r="E79" t="s">
        <v>8</v>
      </c>
      <c r="F79" t="s">
        <v>13</v>
      </c>
      <c r="G79" t="s">
        <v>15</v>
      </c>
      <c r="H79" t="s">
        <v>34</v>
      </c>
      <c r="I79" t="s">
        <v>10</v>
      </c>
      <c r="J79" t="s">
        <v>11</v>
      </c>
      <c r="K79" t="s">
        <v>12</v>
      </c>
      <c r="L79" t="s">
        <v>14</v>
      </c>
      <c r="M79" t="s">
        <v>16</v>
      </c>
      <c r="N79" t="s">
        <v>34</v>
      </c>
      <c r="O79" t="s">
        <v>19</v>
      </c>
    </row>
    <row r="80" spans="1:15" x14ac:dyDescent="0.25">
      <c r="B80">
        <v>1</v>
      </c>
      <c r="C80">
        <v>2207.84</v>
      </c>
      <c r="D80">
        <v>48.41</v>
      </c>
      <c r="E80">
        <f>C80*D80</f>
        <v>106881.5344</v>
      </c>
      <c r="F80">
        <v>27.456</v>
      </c>
      <c r="G80">
        <v>33</v>
      </c>
      <c r="H80">
        <f>(157+196+183+97+128+101+89+203+102+129)/10</f>
        <v>138.5</v>
      </c>
      <c r="I80">
        <v>1031.8</v>
      </c>
      <c r="J80">
        <v>82.86</v>
      </c>
      <c r="K80">
        <f>I80*J80</f>
        <v>85494.947999999989</v>
      </c>
      <c r="L80">
        <v>67.253</v>
      </c>
      <c r="M80">
        <v>45</v>
      </c>
      <c r="N80">
        <f>(161+147+136+131+128+143+125+136+131+127)/10</f>
        <v>136.5</v>
      </c>
    </row>
    <row r="81" spans="2:15" x14ac:dyDescent="0.25">
      <c r="B81">
        <v>2</v>
      </c>
      <c r="C81">
        <v>2227.69</v>
      </c>
      <c r="D81">
        <v>46.93</v>
      </c>
      <c r="E81">
        <f>C81*D81</f>
        <v>104545.4917</v>
      </c>
      <c r="F81">
        <v>27.529</v>
      </c>
      <c r="G81">
        <v>32</v>
      </c>
      <c r="H81">
        <f>(149+96+161+111+111+151+165+126+106+170)/10</f>
        <v>134.6</v>
      </c>
      <c r="I81">
        <v>1395.67</v>
      </c>
      <c r="J81">
        <v>63.36</v>
      </c>
      <c r="K81">
        <f>I81*J81</f>
        <v>88429.651200000008</v>
      </c>
      <c r="L81">
        <v>53.267000000000003</v>
      </c>
      <c r="M81">
        <v>43</v>
      </c>
      <c r="N81">
        <f>(178+170+161+107+131+109+119+105+122+107)/10</f>
        <v>130.9</v>
      </c>
    </row>
    <row r="82" spans="2:15" x14ac:dyDescent="0.25">
      <c r="B82">
        <v>3</v>
      </c>
      <c r="C82">
        <v>2198.0300000000002</v>
      </c>
      <c r="D82">
        <v>48.03</v>
      </c>
      <c r="E82">
        <f>C82*D82</f>
        <v>105571.38090000002</v>
      </c>
      <c r="F82">
        <v>27.863</v>
      </c>
      <c r="G82">
        <v>31</v>
      </c>
      <c r="H82">
        <f>(153+91+159+93+122+107+171+149+91+142)/10</f>
        <v>127.8</v>
      </c>
      <c r="I82">
        <v>1583.97</v>
      </c>
      <c r="J82">
        <v>63.56</v>
      </c>
      <c r="K82">
        <f t="shared" ref="K82:K84" si="33">I82*J82</f>
        <v>100677.13320000001</v>
      </c>
      <c r="L82">
        <v>49.279000000000003</v>
      </c>
      <c r="M82">
        <v>54</v>
      </c>
      <c r="N82">
        <f>(126+129+124+116+109+101+101+174+214+109)/10</f>
        <v>130.30000000000001</v>
      </c>
    </row>
    <row r="83" spans="2:15" x14ac:dyDescent="0.25">
      <c r="B83">
        <v>4</v>
      </c>
      <c r="C83">
        <v>2257.8200000000002</v>
      </c>
      <c r="D83">
        <v>46.04</v>
      </c>
      <c r="E83">
        <f t="shared" ref="E83:E84" si="34">C83*D83</f>
        <v>103950.0328</v>
      </c>
      <c r="F83">
        <v>27.161000000000001</v>
      </c>
      <c r="G83">
        <v>36</v>
      </c>
      <c r="H83">
        <f>(144+76+97+176+128+95+99+116+177+129)/10</f>
        <v>123.7</v>
      </c>
      <c r="I83">
        <v>1524.57</v>
      </c>
      <c r="J83">
        <v>62.55</v>
      </c>
      <c r="K83">
        <f t="shared" si="33"/>
        <v>95361.853499999997</v>
      </c>
      <c r="L83">
        <v>47.427999999999997</v>
      </c>
      <c r="M83">
        <v>36</v>
      </c>
      <c r="N83">
        <f>(141+201+114+99+120+118+120+84+106+85)/10</f>
        <v>118.8</v>
      </c>
    </row>
    <row r="84" spans="2:15" x14ac:dyDescent="0.25">
      <c r="B84">
        <v>5</v>
      </c>
      <c r="C84">
        <v>2289.67</v>
      </c>
      <c r="D84">
        <v>44.06</v>
      </c>
      <c r="E84">
        <f t="shared" si="34"/>
        <v>100882.86020000001</v>
      </c>
      <c r="F84">
        <v>27.681999999999999</v>
      </c>
      <c r="G84">
        <v>34</v>
      </c>
      <c r="H84">
        <f>(114+88+98+130+105+122+101+224+165+120)/10</f>
        <v>126.7</v>
      </c>
      <c r="I84">
        <v>1420.65</v>
      </c>
      <c r="J84">
        <v>67.42</v>
      </c>
      <c r="K84">
        <f t="shared" si="33"/>
        <v>95780.223000000013</v>
      </c>
      <c r="L84">
        <v>52.993000000000002</v>
      </c>
      <c r="M84">
        <v>44</v>
      </c>
      <c r="N84">
        <f>(160+134+157+154+115+114+111+118+149+123)/10</f>
        <v>133.5</v>
      </c>
    </row>
    <row r="85" spans="2:15" x14ac:dyDescent="0.25">
      <c r="B85" t="s">
        <v>43</v>
      </c>
      <c r="C85">
        <f t="shared" ref="C85:N85" si="35">AVERAGE(C80:C84)</f>
        <v>2236.21</v>
      </c>
      <c r="D85">
        <f t="shared" si="35"/>
        <v>46.694000000000003</v>
      </c>
      <c r="E85">
        <f t="shared" si="35"/>
        <v>104366.26</v>
      </c>
      <c r="F85">
        <f t="shared" si="35"/>
        <v>27.5382</v>
      </c>
      <c r="G85">
        <f t="shared" si="35"/>
        <v>33.200000000000003</v>
      </c>
      <c r="H85">
        <f t="shared" si="35"/>
        <v>130.26000000000002</v>
      </c>
      <c r="I85">
        <f t="shared" si="35"/>
        <v>1391.3319999999999</v>
      </c>
      <c r="J85">
        <f t="shared" si="35"/>
        <v>67.95</v>
      </c>
      <c r="K85">
        <f t="shared" si="35"/>
        <v>93148.761779999986</v>
      </c>
      <c r="L85">
        <f t="shared" si="35"/>
        <v>54.044000000000004</v>
      </c>
      <c r="M85">
        <f t="shared" si="35"/>
        <v>44.4</v>
      </c>
      <c r="N85">
        <f t="shared" si="35"/>
        <v>130</v>
      </c>
      <c r="O85" s="1">
        <f>1-((I85-N7)*J85)/((C85-N7)*D85)</f>
        <v>0.52073115210226506</v>
      </c>
    </row>
    <row r="114" spans="13:13" x14ac:dyDescent="0.25">
      <c r="M114" s="1"/>
    </row>
  </sheetData>
  <phoneticPr fontId="1" type="noConversion"/>
  <pageMargins left="0.25" right="0.25" top="0.75" bottom="0.75" header="0.3" footer="0.3"/>
  <pageSetup paperSize="9" scale="3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8"/>
  <sheetViews>
    <sheetView tabSelected="1" topLeftCell="A117" zoomScale="145" zoomScaleNormal="145" workbookViewId="0">
      <selection activeCell="C127" sqref="C127"/>
    </sheetView>
  </sheetViews>
  <sheetFormatPr defaultRowHeight="16.5" x14ac:dyDescent="0.25"/>
  <cols>
    <col min="1" max="1" width="15.125" customWidth="1"/>
    <col min="2" max="2" width="10.75" customWidth="1"/>
    <col min="4" max="4" width="11.75" customWidth="1"/>
    <col min="5" max="5" width="14.25" customWidth="1"/>
    <col min="7" max="7" width="10.75" customWidth="1"/>
    <col min="8" max="8" width="16.375" customWidth="1"/>
    <col min="9" max="9" width="12" customWidth="1"/>
    <col min="10" max="10" width="2.625" customWidth="1"/>
    <col min="11" max="11" width="17.125" customWidth="1"/>
    <col min="12" max="12" width="12.25" customWidth="1"/>
    <col min="13" max="13" width="2.125" customWidth="1"/>
    <col min="14" max="14" width="16.25" customWidth="1"/>
    <col min="15" max="15" width="11.375" customWidth="1"/>
    <col min="16" max="16" width="4.125" customWidth="1"/>
    <col min="17" max="17" width="16.5" customWidth="1"/>
    <col min="18" max="18" width="12.25" customWidth="1"/>
  </cols>
  <sheetData>
    <row r="1" spans="1:5" x14ac:dyDescent="0.25">
      <c r="A1" t="s">
        <v>44</v>
      </c>
      <c r="B1" t="s">
        <v>66</v>
      </c>
      <c r="C1" t="s">
        <v>67</v>
      </c>
      <c r="D1" t="s">
        <v>68</v>
      </c>
      <c r="E1" t="s">
        <v>69</v>
      </c>
    </row>
    <row r="2" spans="1:5" x14ac:dyDescent="0.25">
      <c r="A2" t="s">
        <v>64</v>
      </c>
      <c r="B2">
        <f>工作表1!$F$61</f>
        <v>143.5</v>
      </c>
      <c r="C2">
        <f>工作表1!$G$69</f>
        <v>126.73999999999998</v>
      </c>
      <c r="D2">
        <f>工作表1!$G$77</f>
        <v>167.56</v>
      </c>
      <c r="E2">
        <f>工作表1!$H$85</f>
        <v>130.26000000000002</v>
      </c>
    </row>
    <row r="3" spans="1:5" x14ac:dyDescent="0.25">
      <c r="A3" t="s">
        <v>65</v>
      </c>
      <c r="B3">
        <f>工作表1!$J$61</f>
        <v>139.30000000000001</v>
      </c>
      <c r="C3">
        <f>工作表1!$L$69</f>
        <v>121.28</v>
      </c>
      <c r="D3">
        <f>工作表1!$L$77</f>
        <v>162.38000000000002</v>
      </c>
      <c r="E3">
        <f>工作表1!$N$85</f>
        <v>130</v>
      </c>
    </row>
    <row r="4" spans="1:5" x14ac:dyDescent="0.25">
      <c r="B4" s="1">
        <f>1-B3/B2</f>
        <v>2.9268292682926744E-2</v>
      </c>
      <c r="C4" s="1">
        <f>1-C3/C2</f>
        <v>4.3080321918888886E-2</v>
      </c>
      <c r="D4" s="1">
        <f>1-D3/D2</f>
        <v>3.0914299355454644E-2</v>
      </c>
      <c r="E4" s="1">
        <f>1-E3/E2</f>
        <v>1.9960079840320999E-3</v>
      </c>
    </row>
    <row r="19" spans="1:5" x14ac:dyDescent="0.25">
      <c r="A19" t="s">
        <v>45</v>
      </c>
      <c r="B19" t="s">
        <v>66</v>
      </c>
      <c r="C19" t="s">
        <v>67</v>
      </c>
      <c r="D19" t="s">
        <v>68</v>
      </c>
      <c r="E19" t="s">
        <v>69</v>
      </c>
    </row>
    <row r="20" spans="1:5" x14ac:dyDescent="0.25">
      <c r="A20" t="s">
        <v>64</v>
      </c>
      <c r="B20">
        <f>(工作表1!$C$61-工作表1!$M$7)*工作表1!$D$61</f>
        <v>19028.413359999991</v>
      </c>
      <c r="C20">
        <f>(工作表1!$C$69-工作表1!$M$7)*工作表1!$D$69</f>
        <v>46390.099112000004</v>
      </c>
      <c r="D20">
        <f>(工作表1!$C$77-工作表1!$M$7)*(工作表1!$D$77-工作表1!$F$77)+(工作表1!$C$77-工作表1!$N$7)*工作表1!$F$77</f>
        <v>44923.750048000002</v>
      </c>
      <c r="E20">
        <f>(工作表1!$C$85-工作表1!$M$7)*(工作表1!$D$85-工作表1!$G$85)+(工作表1!$C$85-工作表1!$N$7)*工作表1!$G$85</f>
        <v>63655.721008000008</v>
      </c>
    </row>
    <row r="21" spans="1:5" x14ac:dyDescent="0.25">
      <c r="A21" t="s">
        <v>65</v>
      </c>
      <c r="B21">
        <f>(工作表1!$G$61-工作表1!$M$7)*工作表1!$H$61</f>
        <v>16346.398528888891</v>
      </c>
      <c r="C21">
        <f>(工作表1!$H$69-工作表1!$M$7)*工作表1!$I$69</f>
        <v>35890.609356000001</v>
      </c>
      <c r="D21">
        <f>(工作表1!$H$77-工作表1!$M$7)*(工作表1!$I$77-工作表1!$K$77)+(工作表1!$H$77-工作表1!$N$7)*工作表1!$K$77</f>
        <v>30523.914539999987</v>
      </c>
      <c r="E21">
        <f>(工作表1!$I$85-工作表1!$M$7)*(工作表1!$J$85-工作表1!$M$85)+(工作表1!$I$85-工作表1!$N$7)*工作表1!$M$85</f>
        <v>36624.715499999991</v>
      </c>
    </row>
    <row r="22" spans="1:5" x14ac:dyDescent="0.25">
      <c r="B22" s="1">
        <f>1-B21/B20</f>
        <v>0.14094789619974402</v>
      </c>
      <c r="C22" s="1">
        <f>1-C21/C20</f>
        <v>0.22633040146456673</v>
      </c>
      <c r="D22" s="1">
        <f>1-D21/D20</f>
        <v>0.32053948062247961</v>
      </c>
      <c r="E22" s="1">
        <f>1-E21/E20</f>
        <v>0.42464377246788021</v>
      </c>
    </row>
    <row r="37" spans="1:5" x14ac:dyDescent="0.25">
      <c r="A37" t="s">
        <v>46</v>
      </c>
      <c r="B37" t="s">
        <v>0</v>
      </c>
      <c r="C37" t="s">
        <v>1</v>
      </c>
      <c r="D37" t="s">
        <v>2</v>
      </c>
      <c r="E37" t="s">
        <v>3</v>
      </c>
    </row>
    <row r="38" spans="1:5" x14ac:dyDescent="0.25">
      <c r="A38" t="s">
        <v>64</v>
      </c>
      <c r="B38">
        <f>工作表1!$F$7</f>
        <v>29.812000000000001</v>
      </c>
      <c r="C38">
        <f>工作表1!$F$15</f>
        <v>29.803999999999995</v>
      </c>
      <c r="D38">
        <f>工作表1!$F$23</f>
        <v>29.77</v>
      </c>
      <c r="E38">
        <f>工作表1!$F$31</f>
        <v>29.677999999999997</v>
      </c>
    </row>
    <row r="39" spans="1:5" x14ac:dyDescent="0.25">
      <c r="A39" t="s">
        <v>65</v>
      </c>
      <c r="B39">
        <f>工作表1!$J$7</f>
        <v>29.846000000000004</v>
      </c>
      <c r="C39">
        <f>工作表1!$K$15</f>
        <v>29.72</v>
      </c>
      <c r="D39">
        <f>工作表1!$K$23</f>
        <v>29.687999999999999</v>
      </c>
      <c r="E39">
        <f>工作表1!$L$31</f>
        <v>29.661999999999999</v>
      </c>
    </row>
    <row r="54" spans="1:5" x14ac:dyDescent="0.25">
      <c r="A54" t="s">
        <v>47</v>
      </c>
      <c r="B54" t="s">
        <v>0</v>
      </c>
      <c r="C54" t="s">
        <v>1</v>
      </c>
      <c r="D54" t="s">
        <v>2</v>
      </c>
      <c r="E54" t="s">
        <v>3</v>
      </c>
    </row>
    <row r="55" spans="1:5" x14ac:dyDescent="0.25">
      <c r="A55" t="s">
        <v>64</v>
      </c>
      <c r="B55">
        <f>(工作表1!$C$7-工作表1!$M$7)*工作表1!$D$7</f>
        <v>28727.644791999985</v>
      </c>
      <c r="C55">
        <f>(工作表1!$C$15-工作表1!$M$7)*工作表1!$D$15</f>
        <v>54942.231456000001</v>
      </c>
      <c r="D55">
        <f>(工作表1!$C$23-工作表1!$M$7)*(工作表1!$D$23-工作表1!$G$23)+(工作表1!$C$23-工作表1!$N$7)*工作表1!$G$23</f>
        <v>50919.67502000001</v>
      </c>
      <c r="E55">
        <f>(工作表1!$C$31-工作表1!$M$7)*(工作表1!$D$31-工作表1!$H$31)+(工作表1!$C$31-工作表1!$N$7)*工作表1!$H$31</f>
        <v>75893.042199999982</v>
      </c>
    </row>
    <row r="56" spans="1:5" x14ac:dyDescent="0.25">
      <c r="A56" t="s">
        <v>65</v>
      </c>
      <c r="B56">
        <f>(工作表1!$G$7-工作表1!$M$7)*工作表1!$H$7</f>
        <v>28806.537564000006</v>
      </c>
      <c r="C56">
        <f>(工作表1!$H$15-工作表1!$M$7)*工作表1!$I$15</f>
        <v>48508.428760000003</v>
      </c>
      <c r="D56">
        <f>(工作表1!$H$23-工作表1!$M$7)*(工作表1!$I$23-工作表1!$L$23)+(工作表1!$H$23-工作表1!$N$7)*工作表1!$L$23</f>
        <v>40187.375759999981</v>
      </c>
      <c r="E56">
        <f>(工作表1!$I$31-工作表1!$M$7)*(工作表1!$J$31-工作表1!$N$31)+(工作表1!$I$31-工作表1!$N$7)*工作表1!$N$31</f>
        <v>61507.339679999997</v>
      </c>
    </row>
    <row r="57" spans="1:5" x14ac:dyDescent="0.25">
      <c r="B57" s="1">
        <f>1-B56/B55</f>
        <v>-2.746231811596056E-3</v>
      </c>
      <c r="C57" s="1">
        <f>1-C56/C55</f>
        <v>0.11710122660657585</v>
      </c>
      <c r="D57" s="1">
        <f>1-D56/D55</f>
        <v>0.21076920180234149</v>
      </c>
      <c r="E57" s="1">
        <f>1-E56/E55</f>
        <v>0.18955232394149546</v>
      </c>
    </row>
    <row r="72" spans="1:7" x14ac:dyDescent="0.25">
      <c r="A72" t="s">
        <v>48</v>
      </c>
      <c r="B72" t="s">
        <v>28</v>
      </c>
      <c r="C72" t="s">
        <v>53</v>
      </c>
      <c r="D72" t="s">
        <v>1</v>
      </c>
      <c r="E72" t="s">
        <v>3</v>
      </c>
      <c r="F72" t="s">
        <v>70</v>
      </c>
      <c r="G72" t="s">
        <v>69</v>
      </c>
    </row>
    <row r="73" spans="1:7" x14ac:dyDescent="0.25">
      <c r="A73" t="s">
        <v>64</v>
      </c>
      <c r="B73">
        <f>工作表1!$F$39</f>
        <v>20.024999999999999</v>
      </c>
      <c r="C73">
        <f>工作表1!$F$55</f>
        <v>22.025799999999997</v>
      </c>
      <c r="D73">
        <f>工作表1!$G$15</f>
        <v>23.004399999999997</v>
      </c>
      <c r="E73">
        <f>工作表1!$G$31</f>
        <v>26.338600000000003</v>
      </c>
      <c r="F73">
        <f>工作表1!$F$69</f>
        <v>22.501799999999996</v>
      </c>
      <c r="G73">
        <f>工作表1!$F$85</f>
        <v>27.5382</v>
      </c>
    </row>
    <row r="74" spans="1:7" x14ac:dyDescent="0.25">
      <c r="A74" t="s">
        <v>65</v>
      </c>
      <c r="B74">
        <f>工作表1!$J$39</f>
        <v>25.869</v>
      </c>
      <c r="C74">
        <f>工作表1!$K$55</f>
        <v>36.930799999999998</v>
      </c>
      <c r="D74">
        <f>工作表1!$L$15</f>
        <v>41.997</v>
      </c>
      <c r="E74">
        <f>工作表1!$M$31</f>
        <v>51.126799999999989</v>
      </c>
      <c r="F74">
        <f>工作表1!$K$69</f>
        <v>48.597200000000001</v>
      </c>
      <c r="G74">
        <f>工作表1!$L$85</f>
        <v>54.044000000000004</v>
      </c>
    </row>
    <row r="90" spans="1:7" x14ac:dyDescent="0.25">
      <c r="A90" t="s">
        <v>49</v>
      </c>
      <c r="B90" t="s">
        <v>28</v>
      </c>
      <c r="C90" t="s">
        <v>53</v>
      </c>
      <c r="D90" t="s">
        <v>1</v>
      </c>
      <c r="E90" t="s">
        <v>3</v>
      </c>
      <c r="F90" t="s">
        <v>70</v>
      </c>
      <c r="G90" t="s">
        <v>69</v>
      </c>
    </row>
    <row r="91" spans="1:7" x14ac:dyDescent="0.25">
      <c r="A91" t="s">
        <v>64</v>
      </c>
      <c r="B91">
        <f>(工作表1!$C$39-工作表1!$M$7)*工作表1!$D$39</f>
        <v>26326.523187999999</v>
      </c>
      <c r="C91">
        <f>(工作表1!$C$55-工作表1!$M$7)*(工作表1!$D$55-工作表1!$G$55)+(工作表1!$C$55-工作表1!$N$7)*工作表1!$G$55</f>
        <v>48732.231724000027</v>
      </c>
      <c r="D91">
        <f>(工作表1!$C$15-工作表1!$M$7)*工作表1!$D$15</f>
        <v>54942.231456000001</v>
      </c>
      <c r="E91">
        <f>(工作表1!$C$31-工作表1!$M$7)*(工作表1!$D$31-工作表1!$H$31)+(工作表1!$C$31-工作表1!$N$7)*工作表1!$H$31</f>
        <v>75893.042199999982</v>
      </c>
      <c r="F91">
        <f>(工作表1!$C$69-工作表1!$M$7)*工作表1!$D$69</f>
        <v>46390.099112000004</v>
      </c>
      <c r="G91">
        <f>(工作表1!$C$85-工作表1!$M$7)*(工作表1!$D$85-工作表1!$G$85)+(工作表1!$C$85-工作表1!$N$7)*工作表1!$G$85</f>
        <v>63655.721008000008</v>
      </c>
    </row>
    <row r="92" spans="1:7" x14ac:dyDescent="0.25">
      <c r="A92" t="s">
        <v>65</v>
      </c>
      <c r="B92">
        <f>(工作表1!$G$39-工作表1!$M$7)*工作表1!$H$39</f>
        <v>20743.780379999993</v>
      </c>
      <c r="C92">
        <f>(工作表1!$H$55-工作表1!$M$7)*(工作表1!$I$55-工作表1!$L$55)+(工作表1!$H$55-工作表1!$N$7)*工作表1!$L$55</f>
        <v>33705.232812000002</v>
      </c>
      <c r="D92">
        <f>(工作表1!$H$15-工作表1!$M$7)*工作表1!$I$15</f>
        <v>48508.428760000003</v>
      </c>
      <c r="E92">
        <f>(工作表1!$I$31-工作表1!$M$7)*(工作表1!$J$31-工作表1!$N$31)+(工作表1!$I$31-工作表1!$N$7)*工作表1!$N$31</f>
        <v>61507.339679999997</v>
      </c>
      <c r="F92">
        <f>(工作表1!$H$69-工作表1!$M$7)*工作表1!$I$69</f>
        <v>35890.609356000001</v>
      </c>
      <c r="G92">
        <f>(工作表1!$I$85-工作表1!$M$7)*(工作表1!$J$85-工作表1!$M$85)+(工作表1!$I$85-工作表1!$N$7)*工作表1!$M$85</f>
        <v>36624.715499999991</v>
      </c>
    </row>
    <row r="93" spans="1:7" x14ac:dyDescent="0.25">
      <c r="B93" s="1">
        <f t="shared" ref="B93:G93" si="0">1-B92/B91</f>
        <v>0.21205773235353387</v>
      </c>
      <c r="C93" s="1">
        <f t="shared" si="0"/>
        <v>0.30835852125769592</v>
      </c>
      <c r="D93" s="1">
        <f t="shared" si="0"/>
        <v>0.11710122660657585</v>
      </c>
      <c r="E93" s="1">
        <f t="shared" si="0"/>
        <v>0.18955232394149546</v>
      </c>
      <c r="F93" s="1">
        <f t="shared" si="0"/>
        <v>0.22633040146456673</v>
      </c>
      <c r="G93" s="1">
        <f t="shared" si="0"/>
        <v>0.42464377246788021</v>
      </c>
    </row>
    <row r="108" spans="1:7" x14ac:dyDescent="0.25">
      <c r="A108" t="s">
        <v>50</v>
      </c>
      <c r="B108" t="s">
        <v>30</v>
      </c>
      <c r="C108" t="s">
        <v>53</v>
      </c>
      <c r="D108" t="s">
        <v>2</v>
      </c>
      <c r="E108" t="s">
        <v>3</v>
      </c>
      <c r="F108" t="s">
        <v>68</v>
      </c>
      <c r="G108" t="s">
        <v>69</v>
      </c>
    </row>
    <row r="109" spans="1:7" x14ac:dyDescent="0.25">
      <c r="A109" t="s">
        <v>64</v>
      </c>
      <c r="B109">
        <f>工作表1!$F$47</f>
        <v>36.799999999999997</v>
      </c>
      <c r="C109">
        <f>工作表1!$G$55</f>
        <v>53</v>
      </c>
      <c r="D109">
        <f>工作表1!$G$23</f>
        <v>39.799999999999997</v>
      </c>
      <c r="E109">
        <f>工作表1!$H$31</f>
        <v>31.2</v>
      </c>
      <c r="F109">
        <f>工作表1!$F$77</f>
        <v>21.4</v>
      </c>
      <c r="G109">
        <f>工作表1!$G$85</f>
        <v>33.200000000000003</v>
      </c>
    </row>
    <row r="110" spans="1:7" x14ac:dyDescent="0.25">
      <c r="A110" t="s">
        <v>65</v>
      </c>
      <c r="B110">
        <f>工作表1!$J$47</f>
        <v>33.799999999999997</v>
      </c>
      <c r="C110">
        <f>工作表1!$L$55</f>
        <v>54</v>
      </c>
      <c r="D110">
        <f>工作表1!$L$23</f>
        <v>42</v>
      </c>
      <c r="E110">
        <f>工作表1!$N$31</f>
        <v>34.4</v>
      </c>
      <c r="F110">
        <f>工作表1!$K$77</f>
        <v>28</v>
      </c>
      <c r="G110">
        <f>工作表1!$M$85</f>
        <v>44.4</v>
      </c>
    </row>
    <row r="125" spans="1:7" x14ac:dyDescent="0.25">
      <c r="A125" t="s">
        <v>51</v>
      </c>
      <c r="B125" t="s">
        <v>30</v>
      </c>
      <c r="C125" t="s">
        <v>53</v>
      </c>
      <c r="D125" t="s">
        <v>2</v>
      </c>
      <c r="E125" t="s">
        <v>3</v>
      </c>
      <c r="F125" t="s">
        <v>68</v>
      </c>
      <c r="G125" t="s">
        <v>69</v>
      </c>
    </row>
    <row r="126" spans="1:7" x14ac:dyDescent="0.25">
      <c r="A126" t="s">
        <v>64</v>
      </c>
      <c r="B126">
        <f>(工作表1!$C$47-工作表1!$M$7)*(工作表1!$D$47-工作表1!$F$47)+(工作表1!$C$47-工作表1!$N$7)*工作表1!$F$47</f>
        <v>24584.743860000002</v>
      </c>
      <c r="C126">
        <f>(工作表1!$C$55-工作表1!$M$7)*(工作表1!$D$55-工作表1!$G$55)+(工作表1!$C$55-工作表1!$N$7)*工作表1!$G$55</f>
        <v>48732.231724000027</v>
      </c>
      <c r="D126">
        <f>(工作表1!$C$23-工作表1!$M$7)*(工作表1!$D$23-工作表1!$G$23)+(工作表1!$C$23-工作表1!$N$7)*工作表1!$G$23</f>
        <v>50919.67502000001</v>
      </c>
      <c r="E126">
        <f>(工作表1!$C$31-工作表1!$M$7)*(工作表1!$D$31-工作表1!$H$31)+(工作表1!$C$31-工作表1!$N$7)*工作表1!$H$31</f>
        <v>75893.042199999982</v>
      </c>
      <c r="F126">
        <f>(工作表1!$C$77-工作表1!$M$7)*(工作表1!$D$77-工作表1!$F$77)+(工作表1!$C$77-工作表1!$N$7)*工作表1!$F$77</f>
        <v>44923.750048000002</v>
      </c>
      <c r="G126">
        <f>(工作表1!$C$85-工作表1!$M$7)*(工作表1!$D$85-工作表1!$G$85)+(工作表1!$C$85-工作表1!$N$7)*工作表1!$G$85</f>
        <v>63655.721008000008</v>
      </c>
    </row>
    <row r="127" spans="1:7" x14ac:dyDescent="0.25">
      <c r="A127" t="s">
        <v>65</v>
      </c>
      <c r="B127">
        <f>(工作表1!$G$47-工作表1!$M$7)*(工作表1!$H$47-工作表1!$J$47)+(工作表1!$G$47-工作表1!$N$7)*工作表1!$J$47</f>
        <v>9145.198640000006</v>
      </c>
      <c r="C127">
        <f>(工作表1!$H$55-工作表1!$M$7)*(工作表1!$I$55-工作表1!$L$55)+(工作表1!$H$55-工作表1!$N$7)*工作表1!$L$55</f>
        <v>33705.232812000002</v>
      </c>
      <c r="D127">
        <f>(工作表1!$H$23-工作表1!$M$7)*(工作表1!$I$23-工作表1!$L$23)+(工作表1!$H$23-工作表1!$N$7)*工作表1!$L$23</f>
        <v>40187.375759999981</v>
      </c>
      <c r="E127">
        <f>(工作表1!$I$31-工作表1!$M$7)*(工作表1!$J$31-工作表1!$N$31)+(工作表1!$I$31-工作表1!$N$7)*工作表1!$N$31</f>
        <v>61507.339679999997</v>
      </c>
      <c r="F127">
        <f>(工作表1!$H$77-工作表1!$M$7)*(工作表1!$I$77-工作表1!$K$77)+(工作表1!$H$77-工作表1!$N$7)*工作表1!$K$77</f>
        <v>30523.914539999987</v>
      </c>
      <c r="G127">
        <f>(工作表1!$I$85-工作表1!$M$7)*(工作表1!$J$85-工作表1!$M$85)+(工作表1!$I$85-工作表1!$N$7)*工作表1!$M$85</f>
        <v>36624.715499999991</v>
      </c>
    </row>
    <row r="128" spans="1:7" x14ac:dyDescent="0.25">
      <c r="B128" s="1">
        <f t="shared" ref="B128:G128" si="1">1-B127/B126</f>
        <v>0.62801326334420449</v>
      </c>
      <c r="C128" s="1">
        <f t="shared" si="1"/>
        <v>0.30835852125769592</v>
      </c>
      <c r="D128" s="1">
        <f t="shared" si="1"/>
        <v>0.21076920180234149</v>
      </c>
      <c r="E128" s="1">
        <f t="shared" si="1"/>
        <v>0.18955232394149546</v>
      </c>
      <c r="F128" s="1">
        <f t="shared" si="1"/>
        <v>0.32053948062247961</v>
      </c>
      <c r="G128" s="1">
        <f t="shared" si="1"/>
        <v>0.42464377246788021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統計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2013-09-23T12:31:50Z</dcterms:modified>
</cp:coreProperties>
</file>